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ese/Documents/Medium/"/>
    </mc:Choice>
  </mc:AlternateContent>
  <xr:revisionPtr revIDLastSave="0" documentId="13_ncr:1_{CDE6B4B5-32FB-C442-A2ED-6E439A14B3D7}" xr6:coauthVersionLast="45" xr6:coauthVersionMax="45" xr10:uidLastSave="{00000000-0000-0000-0000-000000000000}"/>
  <bookViews>
    <workbookView xWindow="460" yWindow="460" windowWidth="29080" windowHeight="19020" xr2:uid="{F94D4544-46B5-C746-A620-67F7AF455FFA}"/>
  </bookViews>
  <sheets>
    <sheet name="NPV-Basic" sheetId="2" r:id="rId1"/>
    <sheet name="NPV-School-LinearWageGrowth" sheetId="1" r:id="rId2"/>
    <sheet name="NPV-School-LogWageGrowth" sheetId="5" r:id="rId3"/>
    <sheet name="FisherPryWageGrowth" sheetId="4" r:id="rId4"/>
  </sheets>
  <externalReferences>
    <externalReference r:id="rId5"/>
  </externalReferences>
  <definedNames>
    <definedName name="I" localSheetId="3">#REF!</definedName>
    <definedName name="I">#REF!</definedName>
    <definedName name="IM" localSheetId="3">#REF!</definedName>
    <definedName name="IM">#REF!</definedName>
    <definedName name="imit_rate">#REF!</definedName>
    <definedName name="innov_rate">#REF!</definedName>
    <definedName name="sat_lim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5" l="1"/>
  <c r="B18" i="1"/>
  <c r="B17" i="5"/>
  <c r="B16" i="5"/>
  <c r="B17" i="1"/>
  <c r="B16" i="1"/>
  <c r="A28" i="5"/>
  <c r="A27" i="5"/>
  <c r="A26" i="5"/>
  <c r="A27" i="1"/>
  <c r="A28" i="1"/>
  <c r="A26" i="1"/>
  <c r="D10" i="5"/>
  <c r="D11" i="5"/>
  <c r="D9" i="5"/>
  <c r="D11" i="1"/>
  <c r="D10" i="1"/>
  <c r="D9" i="1"/>
  <c r="H70" i="5"/>
  <c r="I70" i="5" s="1"/>
  <c r="J70" i="5" s="1"/>
  <c r="K70" i="5" s="1"/>
  <c r="L70" i="5" s="1"/>
  <c r="M70" i="5" s="1"/>
  <c r="N70" i="5" s="1"/>
  <c r="O70" i="5" s="1"/>
  <c r="H53" i="5"/>
  <c r="H52" i="5"/>
  <c r="I52" i="5" s="1"/>
  <c r="J52" i="5" s="1"/>
  <c r="K52" i="5" s="1"/>
  <c r="L52" i="5" s="1"/>
  <c r="M52" i="5" s="1"/>
  <c r="N52" i="5" s="1"/>
  <c r="O52" i="5" s="1"/>
  <c r="F34" i="5"/>
  <c r="G34" i="5" s="1"/>
  <c r="H34" i="5" s="1"/>
  <c r="I34" i="5" s="1"/>
  <c r="J34" i="5" s="1"/>
  <c r="K34" i="5" s="1"/>
  <c r="L34" i="5" s="1"/>
  <c r="M34" i="5" s="1"/>
  <c r="N34" i="5" s="1"/>
  <c r="O34" i="5" s="1"/>
  <c r="I4" i="2"/>
  <c r="I5" i="2"/>
  <c r="I3" i="2"/>
  <c r="H129" i="5"/>
  <c r="H109" i="5"/>
  <c r="E70" i="5"/>
  <c r="E71" i="5" s="1"/>
  <c r="C69" i="5"/>
  <c r="F67" i="5"/>
  <c r="C67" i="5"/>
  <c r="E66" i="5"/>
  <c r="C66" i="5"/>
  <c r="C68" i="5" s="1"/>
  <c r="C65" i="5"/>
  <c r="K64" i="5"/>
  <c r="J64" i="5"/>
  <c r="I64" i="5"/>
  <c r="F63" i="5"/>
  <c r="C63" i="5"/>
  <c r="E62" i="5"/>
  <c r="C62" i="5"/>
  <c r="C64" i="5" s="1"/>
  <c r="E61" i="5"/>
  <c r="F61" i="5" s="1"/>
  <c r="G61" i="5" s="1"/>
  <c r="H61" i="5" s="1"/>
  <c r="I61" i="5" s="1"/>
  <c r="J61" i="5" s="1"/>
  <c r="K61" i="5" s="1"/>
  <c r="L61" i="5" s="1"/>
  <c r="M61" i="5" s="1"/>
  <c r="N61" i="5" s="1"/>
  <c r="O61" i="5" s="1"/>
  <c r="E60" i="5"/>
  <c r="F60" i="5" s="1"/>
  <c r="G60" i="5" s="1"/>
  <c r="F59" i="5"/>
  <c r="E59" i="5"/>
  <c r="F58" i="5"/>
  <c r="G70" i="5" s="1"/>
  <c r="E58" i="5"/>
  <c r="E52" i="5"/>
  <c r="E53" i="5" s="1"/>
  <c r="C51" i="5"/>
  <c r="C49" i="5"/>
  <c r="E48" i="5"/>
  <c r="C48" i="5"/>
  <c r="C50" i="5" s="1"/>
  <c r="C47" i="5"/>
  <c r="K46" i="5"/>
  <c r="J46" i="5"/>
  <c r="I46" i="5"/>
  <c r="H46" i="5"/>
  <c r="F45" i="5"/>
  <c r="C45" i="5"/>
  <c r="E44" i="5"/>
  <c r="C44" i="5"/>
  <c r="C46" i="5" s="1"/>
  <c r="H43" i="5"/>
  <c r="I43" i="5" s="1"/>
  <c r="J43" i="5" s="1"/>
  <c r="K43" i="5" s="1"/>
  <c r="L43" i="5" s="1"/>
  <c r="M43" i="5" s="1"/>
  <c r="N43" i="5" s="1"/>
  <c r="O43" i="5" s="1"/>
  <c r="G43" i="5"/>
  <c r="F43" i="5"/>
  <c r="E43" i="5"/>
  <c r="E42" i="5"/>
  <c r="F42" i="5" s="1"/>
  <c r="G42" i="5" s="1"/>
  <c r="F41" i="5"/>
  <c r="E41" i="5"/>
  <c r="F40" i="5"/>
  <c r="G52" i="5" s="1"/>
  <c r="E40" i="5"/>
  <c r="E35" i="5"/>
  <c r="E34" i="5"/>
  <c r="E33" i="5"/>
  <c r="F33" i="5" s="1"/>
  <c r="G33" i="5" s="1"/>
  <c r="H33" i="5" s="1"/>
  <c r="I33" i="5" s="1"/>
  <c r="J33" i="5" s="1"/>
  <c r="K33" i="5" s="1"/>
  <c r="L33" i="5" s="1"/>
  <c r="M33" i="5" s="1"/>
  <c r="N33" i="5" s="1"/>
  <c r="O33" i="5" s="1"/>
  <c r="E32" i="5"/>
  <c r="F32" i="5" s="1"/>
  <c r="D28" i="5"/>
  <c r="C28" i="5"/>
  <c r="D27" i="5"/>
  <c r="C27" i="5"/>
  <c r="D26" i="5"/>
  <c r="C26" i="5"/>
  <c r="E24" i="5"/>
  <c r="F24" i="5" s="1"/>
  <c r="G24" i="5" s="1"/>
  <c r="H24" i="5" s="1"/>
  <c r="I24" i="5" s="1"/>
  <c r="J24" i="5" s="1"/>
  <c r="K24" i="5" s="1"/>
  <c r="L24" i="5" s="1"/>
  <c r="M24" i="5" s="1"/>
  <c r="N24" i="5" s="1"/>
  <c r="O24" i="5" s="1"/>
  <c r="D24" i="5"/>
  <c r="N20" i="5"/>
  <c r="M68" i="5" s="1"/>
  <c r="K20" i="5"/>
  <c r="G64" i="5" s="1"/>
  <c r="C11" i="2"/>
  <c r="J3" i="2"/>
  <c r="B8" i="2"/>
  <c r="B17" i="2" s="1"/>
  <c r="D14" i="2"/>
  <c r="C14" i="2"/>
  <c r="D12" i="2"/>
  <c r="C12" i="2"/>
  <c r="F9" i="4"/>
  <c r="G9" i="4"/>
  <c r="H9" i="4"/>
  <c r="I9" i="4"/>
  <c r="J9" i="4"/>
  <c r="K9" i="4"/>
  <c r="L9" i="4"/>
  <c r="K10" i="4" s="1"/>
  <c r="M9" i="4"/>
  <c r="N9" i="4"/>
  <c r="M10" i="4" s="1"/>
  <c r="O9" i="4"/>
  <c r="P9" i="4"/>
  <c r="E9" i="4"/>
  <c r="F11" i="4"/>
  <c r="G11" i="4"/>
  <c r="H11" i="4"/>
  <c r="I11" i="4"/>
  <c r="J11" i="4"/>
  <c r="K11" i="4"/>
  <c r="L11" i="4"/>
  <c r="M11" i="4"/>
  <c r="N11" i="4"/>
  <c r="O11" i="4"/>
  <c r="P11" i="4"/>
  <c r="E11" i="4"/>
  <c r="P13" i="4"/>
  <c r="F13" i="4"/>
  <c r="G13" i="4"/>
  <c r="H13" i="4"/>
  <c r="I13" i="4"/>
  <c r="J13" i="4"/>
  <c r="I14" i="4" s="1"/>
  <c r="K13" i="4"/>
  <c r="L13" i="4"/>
  <c r="M13" i="4"/>
  <c r="N13" i="4"/>
  <c r="O13" i="4"/>
  <c r="E13" i="4"/>
  <c r="G35" i="5" l="1"/>
  <c r="H35" i="5"/>
  <c r="F35" i="5"/>
  <c r="G53" i="5"/>
  <c r="H42" i="5"/>
  <c r="G71" i="5"/>
  <c r="G32" i="5"/>
  <c r="F37" i="5"/>
  <c r="F26" i="5" s="1"/>
  <c r="H60" i="5"/>
  <c r="G46" i="5"/>
  <c r="M50" i="5"/>
  <c r="H64" i="5"/>
  <c r="N68" i="5"/>
  <c r="O68" i="5"/>
  <c r="F51" i="5"/>
  <c r="N50" i="5"/>
  <c r="F49" i="5"/>
  <c r="E68" i="5"/>
  <c r="F65" i="5"/>
  <c r="H68" i="5"/>
  <c r="H50" i="5"/>
  <c r="I68" i="5"/>
  <c r="E37" i="5"/>
  <c r="E26" i="5" s="1"/>
  <c r="L64" i="5"/>
  <c r="M46" i="5"/>
  <c r="N64" i="5"/>
  <c r="I50" i="5"/>
  <c r="J68" i="5"/>
  <c r="N46" i="5"/>
  <c r="F68" i="5"/>
  <c r="F47" i="5"/>
  <c r="G68" i="5"/>
  <c r="J50" i="5"/>
  <c r="E64" i="5"/>
  <c r="E73" i="5" s="1"/>
  <c r="E28" i="5" s="1"/>
  <c r="K68" i="5"/>
  <c r="F69" i="5"/>
  <c r="L46" i="5"/>
  <c r="M64" i="5"/>
  <c r="E50" i="5"/>
  <c r="F50" i="5"/>
  <c r="G50" i="5"/>
  <c r="E46" i="5"/>
  <c r="E55" i="5" s="1"/>
  <c r="E27" i="5" s="1"/>
  <c r="K50" i="5"/>
  <c r="F52" i="5"/>
  <c r="F53" i="5" s="1"/>
  <c r="F64" i="5"/>
  <c r="L68" i="5"/>
  <c r="F70" i="5"/>
  <c r="F71" i="5" s="1"/>
  <c r="F46" i="5"/>
  <c r="F55" i="5" s="1"/>
  <c r="F27" i="5" s="1"/>
  <c r="L50" i="5"/>
  <c r="C8" i="2"/>
  <c r="G14" i="4"/>
  <c r="N12" i="4"/>
  <c r="O12" i="4"/>
  <c r="H14" i="4"/>
  <c r="M12" i="4"/>
  <c r="I12" i="4"/>
  <c r="F10" i="4"/>
  <c r="J10" i="4"/>
  <c r="M14" i="4"/>
  <c r="J14" i="4"/>
  <c r="N14" i="4"/>
  <c r="J12" i="4"/>
  <c r="K14" i="4"/>
  <c r="O14" i="4"/>
  <c r="H12" i="4"/>
  <c r="L14" i="4"/>
  <c r="F12" i="4"/>
  <c r="G12" i="4"/>
  <c r="L10" i="4"/>
  <c r="L12" i="4"/>
  <c r="F14" i="4"/>
  <c r="H10" i="4"/>
  <c r="E14" i="4"/>
  <c r="K12" i="4"/>
  <c r="E12" i="4"/>
  <c r="G10" i="4"/>
  <c r="I10" i="4"/>
  <c r="N10" i="4"/>
  <c r="O10" i="4"/>
  <c r="E14" i="2"/>
  <c r="F14" i="2" s="1"/>
  <c r="G14" i="2" s="1"/>
  <c r="H14" i="2" s="1"/>
  <c r="I14" i="2" s="1"/>
  <c r="J14" i="2" s="1"/>
  <c r="K14" i="2" s="1"/>
  <c r="L14" i="2" s="1"/>
  <c r="M14" i="2" s="1"/>
  <c r="E12" i="2"/>
  <c r="D10" i="2"/>
  <c r="E10" i="2" s="1"/>
  <c r="F10" i="2" s="1"/>
  <c r="G10" i="2" s="1"/>
  <c r="H10" i="2" s="1"/>
  <c r="I10" i="2" s="1"/>
  <c r="J10" i="2" s="1"/>
  <c r="K10" i="2" s="1"/>
  <c r="L10" i="2" s="1"/>
  <c r="M10" i="2" s="1"/>
  <c r="A12" i="2"/>
  <c r="A14" i="2"/>
  <c r="A10" i="2"/>
  <c r="I60" i="5" l="1"/>
  <c r="K69" i="5"/>
  <c r="G69" i="5"/>
  <c r="L69" i="5"/>
  <c r="I69" i="5"/>
  <c r="O69" i="5"/>
  <c r="N69" i="5"/>
  <c r="M69" i="5"/>
  <c r="H69" i="5"/>
  <c r="J69" i="5"/>
  <c r="H71" i="5"/>
  <c r="J51" i="5"/>
  <c r="I51" i="5"/>
  <c r="G51" i="5"/>
  <c r="O51" i="5"/>
  <c r="M51" i="5"/>
  <c r="L51" i="5"/>
  <c r="K51" i="5"/>
  <c r="N51" i="5"/>
  <c r="H51" i="5"/>
  <c r="H32" i="5"/>
  <c r="G37" i="5"/>
  <c r="G26" i="5" s="1"/>
  <c r="M65" i="5"/>
  <c r="L65" i="5"/>
  <c r="G65" i="5"/>
  <c r="K65" i="5"/>
  <c r="O65" i="5"/>
  <c r="J65" i="5"/>
  <c r="H65" i="5"/>
  <c r="I65" i="5"/>
  <c r="N65" i="5"/>
  <c r="F73" i="5"/>
  <c r="F28" i="5" s="1"/>
  <c r="L47" i="5"/>
  <c r="O47" i="5"/>
  <c r="K47" i="5"/>
  <c r="J47" i="5"/>
  <c r="I47" i="5"/>
  <c r="H47" i="5"/>
  <c r="H55" i="5" s="1"/>
  <c r="H27" i="5" s="1"/>
  <c r="G47" i="5"/>
  <c r="G55" i="5" s="1"/>
  <c r="G27" i="5" s="1"/>
  <c r="N47" i="5"/>
  <c r="M47" i="5"/>
  <c r="I35" i="5"/>
  <c r="I42" i="5"/>
  <c r="C17" i="2"/>
  <c r="C13" i="2"/>
  <c r="C15" i="2"/>
  <c r="F12" i="2"/>
  <c r="D8" i="2"/>
  <c r="D17" i="2" s="1"/>
  <c r="H73" i="5" l="1"/>
  <c r="H28" i="5" s="1"/>
  <c r="I53" i="5"/>
  <c r="I55" i="5" s="1"/>
  <c r="I27" i="5" s="1"/>
  <c r="H37" i="5"/>
  <c r="H26" i="5" s="1"/>
  <c r="I32" i="5"/>
  <c r="J42" i="5"/>
  <c r="J60" i="5"/>
  <c r="J35" i="5"/>
  <c r="G73" i="5"/>
  <c r="G28" i="5" s="1"/>
  <c r="I71" i="5"/>
  <c r="I73" i="5" s="1"/>
  <c r="I28" i="5" s="1"/>
  <c r="D15" i="2"/>
  <c r="D13" i="2"/>
  <c r="D11" i="2"/>
  <c r="E8" i="2"/>
  <c r="G12" i="2"/>
  <c r="J71" i="5" l="1"/>
  <c r="J73" i="5" s="1"/>
  <c r="J28" i="5" s="1"/>
  <c r="K35" i="5"/>
  <c r="K60" i="5"/>
  <c r="K42" i="5"/>
  <c r="I37" i="5"/>
  <c r="I26" i="5" s="1"/>
  <c r="J32" i="5"/>
  <c r="J53" i="5"/>
  <c r="J55" i="5" s="1"/>
  <c r="J27" i="5" s="1"/>
  <c r="E17" i="2"/>
  <c r="E11" i="2"/>
  <c r="E15" i="2"/>
  <c r="E13" i="2"/>
  <c r="H12" i="2"/>
  <c r="F8" i="2"/>
  <c r="C28" i="1"/>
  <c r="C27" i="1"/>
  <c r="C26" i="1"/>
  <c r="F67" i="1"/>
  <c r="D28" i="1"/>
  <c r="D27" i="1"/>
  <c r="D26" i="1"/>
  <c r="D24" i="1"/>
  <c r="F40" i="1"/>
  <c r="F47" i="1" s="1"/>
  <c r="F41" i="1"/>
  <c r="K20" i="1"/>
  <c r="H129" i="1"/>
  <c r="N20" i="1" s="1"/>
  <c r="H109" i="1"/>
  <c r="C67" i="1"/>
  <c r="C69" i="1" s="1"/>
  <c r="C66" i="1"/>
  <c r="C68" i="1" s="1"/>
  <c r="C63" i="1"/>
  <c r="C65" i="1" s="1"/>
  <c r="C62" i="1"/>
  <c r="C64" i="1" s="1"/>
  <c r="C49" i="1"/>
  <c r="C51" i="1" s="1"/>
  <c r="C48" i="1"/>
  <c r="C50" i="1" s="1"/>
  <c r="C45" i="1"/>
  <c r="C47" i="1" s="1"/>
  <c r="C44" i="1"/>
  <c r="C46" i="1" s="1"/>
  <c r="K53" i="5" l="1"/>
  <c r="K32" i="5"/>
  <c r="J37" i="5"/>
  <c r="J26" i="5" s="1"/>
  <c r="K55" i="5"/>
  <c r="K27" i="5" s="1"/>
  <c r="L42" i="5"/>
  <c r="L60" i="5"/>
  <c r="L35" i="5"/>
  <c r="K71" i="5"/>
  <c r="K73" i="5" s="1"/>
  <c r="K28" i="5" s="1"/>
  <c r="F17" i="2"/>
  <c r="F13" i="2"/>
  <c r="F15" i="2"/>
  <c r="F11" i="2"/>
  <c r="G8" i="2"/>
  <c r="G17" i="2" s="1"/>
  <c r="I12" i="2"/>
  <c r="F52" i="1"/>
  <c r="F53" i="1" s="1"/>
  <c r="F49" i="1"/>
  <c r="F51" i="1"/>
  <c r="I51" i="1" s="1"/>
  <c r="E70" i="1"/>
  <c r="E71" i="1" s="1"/>
  <c r="O68" i="1"/>
  <c r="N68" i="1"/>
  <c r="M68" i="1"/>
  <c r="L68" i="1"/>
  <c r="K68" i="1"/>
  <c r="J68" i="1"/>
  <c r="I68" i="1"/>
  <c r="H68" i="1"/>
  <c r="G68" i="1"/>
  <c r="F68" i="1"/>
  <c r="E68" i="1"/>
  <c r="E66" i="1"/>
  <c r="N64" i="1"/>
  <c r="M64" i="1"/>
  <c r="L64" i="1"/>
  <c r="K64" i="1"/>
  <c r="J64" i="1"/>
  <c r="I64" i="1"/>
  <c r="H64" i="1"/>
  <c r="G64" i="1"/>
  <c r="F64" i="1"/>
  <c r="E64" i="1"/>
  <c r="F63" i="1"/>
  <c r="E62" i="1"/>
  <c r="E61" i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E60" i="1"/>
  <c r="F60" i="1" s="1"/>
  <c r="F59" i="1"/>
  <c r="E59" i="1"/>
  <c r="F58" i="1"/>
  <c r="E58" i="1"/>
  <c r="E52" i="1"/>
  <c r="E53" i="1" s="1"/>
  <c r="N50" i="1"/>
  <c r="M50" i="1"/>
  <c r="L50" i="1"/>
  <c r="K50" i="1"/>
  <c r="J50" i="1"/>
  <c r="I50" i="1"/>
  <c r="H50" i="1"/>
  <c r="G50" i="1"/>
  <c r="F50" i="1"/>
  <c r="E50" i="1"/>
  <c r="E48" i="1"/>
  <c r="N46" i="1"/>
  <c r="M46" i="1"/>
  <c r="L46" i="1"/>
  <c r="K46" i="1"/>
  <c r="J46" i="1"/>
  <c r="I46" i="1"/>
  <c r="H46" i="1"/>
  <c r="G46" i="1"/>
  <c r="F46" i="1"/>
  <c r="E46" i="1"/>
  <c r="F45" i="1"/>
  <c r="E44" i="1"/>
  <c r="E43" i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E42" i="1"/>
  <c r="F42" i="1" s="1"/>
  <c r="G42" i="1" s="1"/>
  <c r="E41" i="1"/>
  <c r="E40" i="1"/>
  <c r="E34" i="1"/>
  <c r="E35" i="1" s="1"/>
  <c r="E33" i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E32" i="1"/>
  <c r="F32" i="1" s="1"/>
  <c r="E24" i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M42" i="5" l="1"/>
  <c r="L32" i="5"/>
  <c r="K37" i="5"/>
  <c r="K26" i="5" s="1"/>
  <c r="L71" i="5"/>
  <c r="L73" i="5" s="1"/>
  <c r="L28" i="5" s="1"/>
  <c r="M35" i="5"/>
  <c r="L53" i="5"/>
  <c r="L55" i="5" s="1"/>
  <c r="L27" i="5" s="1"/>
  <c r="M60" i="5"/>
  <c r="G11" i="2"/>
  <c r="G15" i="2"/>
  <c r="G13" i="2"/>
  <c r="J12" i="2"/>
  <c r="H8" i="2"/>
  <c r="H17" i="2" s="1"/>
  <c r="J51" i="1"/>
  <c r="K51" i="1"/>
  <c r="M51" i="1"/>
  <c r="F55" i="1"/>
  <c r="F27" i="1" s="1"/>
  <c r="F65" i="1"/>
  <c r="F70" i="1"/>
  <c r="G70" i="1" s="1"/>
  <c r="G51" i="1"/>
  <c r="H51" i="1"/>
  <c r="O51" i="1"/>
  <c r="L51" i="1"/>
  <c r="N51" i="1"/>
  <c r="F69" i="1"/>
  <c r="G52" i="1"/>
  <c r="H52" i="1" s="1"/>
  <c r="I52" i="1" s="1"/>
  <c r="H47" i="1"/>
  <c r="I47" i="1"/>
  <c r="N47" i="1"/>
  <c r="G47" i="1"/>
  <c r="J47" i="1"/>
  <c r="O47" i="1"/>
  <c r="K47" i="1"/>
  <c r="M47" i="1"/>
  <c r="L47" i="1"/>
  <c r="E55" i="1"/>
  <c r="E27" i="1" s="1"/>
  <c r="E73" i="1"/>
  <c r="E28" i="1" s="1"/>
  <c r="H42" i="1"/>
  <c r="G60" i="1"/>
  <c r="G32" i="1"/>
  <c r="F34" i="1"/>
  <c r="E37" i="1"/>
  <c r="E26" i="1" s="1"/>
  <c r="M53" i="5" l="1"/>
  <c r="M55" i="5" s="1"/>
  <c r="M27" i="5" s="1"/>
  <c r="L37" i="5"/>
  <c r="L26" i="5" s="1"/>
  <c r="M32" i="5"/>
  <c r="N60" i="5"/>
  <c r="O35" i="5"/>
  <c r="N35" i="5"/>
  <c r="N42" i="5"/>
  <c r="M71" i="5"/>
  <c r="M73" i="5" s="1"/>
  <c r="M28" i="5" s="1"/>
  <c r="H13" i="2"/>
  <c r="H15" i="2"/>
  <c r="H11" i="2"/>
  <c r="I8" i="2"/>
  <c r="I17" i="2" s="1"/>
  <c r="K12" i="2"/>
  <c r="F71" i="1"/>
  <c r="F73" i="1" s="1"/>
  <c r="F28" i="1" s="1"/>
  <c r="G71" i="1"/>
  <c r="H70" i="1"/>
  <c r="I70" i="1" s="1"/>
  <c r="H53" i="1"/>
  <c r="H55" i="1" s="1"/>
  <c r="H27" i="1" s="1"/>
  <c r="G53" i="1"/>
  <c r="G55" i="1" s="1"/>
  <c r="G27" i="1" s="1"/>
  <c r="O65" i="1"/>
  <c r="J65" i="1"/>
  <c r="L65" i="1"/>
  <c r="G65" i="1"/>
  <c r="H65" i="1"/>
  <c r="M65" i="1"/>
  <c r="I65" i="1"/>
  <c r="K65" i="1"/>
  <c r="N65" i="1"/>
  <c r="H69" i="1"/>
  <c r="I69" i="1"/>
  <c r="K69" i="1"/>
  <c r="N69" i="1"/>
  <c r="O69" i="1"/>
  <c r="G69" i="1"/>
  <c r="J69" i="1"/>
  <c r="L69" i="1"/>
  <c r="M69" i="1"/>
  <c r="H60" i="1"/>
  <c r="H32" i="1"/>
  <c r="I42" i="1"/>
  <c r="F35" i="1"/>
  <c r="G34" i="1"/>
  <c r="J52" i="1"/>
  <c r="I53" i="1"/>
  <c r="H71" i="1"/>
  <c r="F37" i="1"/>
  <c r="F26" i="1" s="1"/>
  <c r="O71" i="5" l="1"/>
  <c r="N71" i="5"/>
  <c r="N73" i="5" s="1"/>
  <c r="N28" i="5" s="1"/>
  <c r="O60" i="5"/>
  <c r="O42" i="5"/>
  <c r="M37" i="5"/>
  <c r="M26" i="5" s="1"/>
  <c r="N32" i="5"/>
  <c r="O53" i="5"/>
  <c r="N53" i="5"/>
  <c r="N55" i="5" s="1"/>
  <c r="N27" i="5" s="1"/>
  <c r="I13" i="2"/>
  <c r="I15" i="2"/>
  <c r="I11" i="2"/>
  <c r="L12" i="2"/>
  <c r="J8" i="2"/>
  <c r="J17" i="2" s="1"/>
  <c r="G73" i="1"/>
  <c r="G28" i="1" s="1"/>
  <c r="J53" i="1"/>
  <c r="K52" i="1"/>
  <c r="J70" i="1"/>
  <c r="I71" i="1"/>
  <c r="G35" i="1"/>
  <c r="H34" i="1"/>
  <c r="I55" i="1"/>
  <c r="I27" i="1" s="1"/>
  <c r="J42" i="1"/>
  <c r="G37" i="1"/>
  <c r="G26" i="1" s="1"/>
  <c r="I32" i="1"/>
  <c r="I60" i="1"/>
  <c r="H73" i="1"/>
  <c r="H28" i="1" s="1"/>
  <c r="N37" i="5" l="1"/>
  <c r="N26" i="5" s="1"/>
  <c r="O32" i="5"/>
  <c r="O37" i="5" s="1"/>
  <c r="O26" i="5" s="1"/>
  <c r="B26" i="5" s="1"/>
  <c r="O55" i="5"/>
  <c r="O27" i="5" s="1"/>
  <c r="B27" i="5" s="1"/>
  <c r="O73" i="5"/>
  <c r="O28" i="5" s="1"/>
  <c r="B28" i="5" s="1"/>
  <c r="J13" i="2"/>
  <c r="J15" i="2"/>
  <c r="J11" i="2"/>
  <c r="K8" i="2"/>
  <c r="K17" i="2" s="1"/>
  <c r="M12" i="2"/>
  <c r="J71" i="1"/>
  <c r="K70" i="1"/>
  <c r="I73" i="1"/>
  <c r="I28" i="1" s="1"/>
  <c r="J60" i="1"/>
  <c r="J32" i="1"/>
  <c r="H35" i="1"/>
  <c r="H37" i="1" s="1"/>
  <c r="H26" i="1" s="1"/>
  <c r="I34" i="1"/>
  <c r="L52" i="1"/>
  <c r="K53" i="1"/>
  <c r="K42" i="1"/>
  <c r="J55" i="1"/>
  <c r="J27" i="1" s="1"/>
  <c r="K11" i="2" l="1"/>
  <c r="K15" i="2"/>
  <c r="K13" i="2"/>
  <c r="L8" i="2"/>
  <c r="L17" i="2" s="1"/>
  <c r="K55" i="1"/>
  <c r="K27" i="1" s="1"/>
  <c r="L42" i="1"/>
  <c r="I35" i="1"/>
  <c r="I37" i="1" s="1"/>
  <c r="I26" i="1" s="1"/>
  <c r="J34" i="1"/>
  <c r="L70" i="1"/>
  <c r="K71" i="1"/>
  <c r="M52" i="1"/>
  <c r="L53" i="1"/>
  <c r="K60" i="1"/>
  <c r="J73" i="1"/>
  <c r="J28" i="1" s="1"/>
  <c r="K32" i="1"/>
  <c r="L11" i="2" l="1"/>
  <c r="L13" i="2"/>
  <c r="L15" i="2"/>
  <c r="M8" i="2"/>
  <c r="L32" i="1"/>
  <c r="K73" i="1"/>
  <c r="K28" i="1" s="1"/>
  <c r="L60" i="1"/>
  <c r="M53" i="1"/>
  <c r="N52" i="1"/>
  <c r="M70" i="1"/>
  <c r="L71" i="1"/>
  <c r="K34" i="1"/>
  <c r="J35" i="1"/>
  <c r="J37" i="1" s="1"/>
  <c r="J26" i="1" s="1"/>
  <c r="M42" i="1"/>
  <c r="L55" i="1"/>
  <c r="L27" i="1" s="1"/>
  <c r="M17" i="2" l="1"/>
  <c r="J5" i="2"/>
  <c r="J4" i="2"/>
  <c r="M11" i="2"/>
  <c r="M15" i="2"/>
  <c r="M13" i="2"/>
  <c r="L34" i="1"/>
  <c r="K35" i="1"/>
  <c r="K37" i="1" s="1"/>
  <c r="K26" i="1" s="1"/>
  <c r="N70" i="1"/>
  <c r="M71" i="1"/>
  <c r="N53" i="1"/>
  <c r="O52" i="1"/>
  <c r="O53" i="1" s="1"/>
  <c r="M60" i="1"/>
  <c r="L73" i="1"/>
  <c r="L28" i="1" s="1"/>
  <c r="M32" i="1"/>
  <c r="N42" i="1"/>
  <c r="M55" i="1"/>
  <c r="M27" i="1" s="1"/>
  <c r="M73" i="1" l="1"/>
  <c r="M28" i="1" s="1"/>
  <c r="N60" i="1"/>
  <c r="O42" i="1"/>
  <c r="O55" i="1" s="1"/>
  <c r="O27" i="1" s="1"/>
  <c r="N55" i="1"/>
  <c r="N27" i="1" s="1"/>
  <c r="N32" i="1"/>
  <c r="N71" i="1"/>
  <c r="O70" i="1"/>
  <c r="O71" i="1" s="1"/>
  <c r="M34" i="1"/>
  <c r="L35" i="1"/>
  <c r="L37" i="1" s="1"/>
  <c r="L26" i="1" s="1"/>
  <c r="B27" i="1" l="1"/>
  <c r="N34" i="1"/>
  <c r="M35" i="1"/>
  <c r="M37" i="1" s="1"/>
  <c r="M26" i="1" s="1"/>
  <c r="N73" i="1"/>
  <c r="N28" i="1" s="1"/>
  <c r="O60" i="1"/>
  <c r="O73" i="1" s="1"/>
  <c r="O28" i="1" s="1"/>
  <c r="O32" i="1"/>
  <c r="B28" i="1" l="1"/>
  <c r="N35" i="1"/>
  <c r="N37" i="1" s="1"/>
  <c r="N26" i="1" s="1"/>
  <c r="O34" i="1"/>
  <c r="O35" i="1" s="1"/>
  <c r="O37" i="1" l="1"/>
  <c r="O26" i="1" s="1"/>
  <c r="B26" i="1" s="1"/>
  <c r="E10" i="4" l="1"/>
</calcChain>
</file>

<file path=xl/sharedStrings.xml><?xml version="1.0" encoding="utf-8"?>
<sst xmlns="http://schemas.openxmlformats.org/spreadsheetml/2006/main" count="270" uniqueCount="115">
  <si>
    <t>Discount Rate</t>
  </si>
  <si>
    <t>Tuition B Y1</t>
  </si>
  <si>
    <t>Scholarship Y1</t>
  </si>
  <si>
    <t>Federal Loan 1</t>
  </si>
  <si>
    <t>Private Loan 1</t>
  </si>
  <si>
    <t>Tuition B Y2</t>
  </si>
  <si>
    <t>Scholarship Y2</t>
  </si>
  <si>
    <t>Federal Loan 2</t>
  </si>
  <si>
    <t>Private Loan 2</t>
  </si>
  <si>
    <t>School Start</t>
  </si>
  <si>
    <t>Tuition C Y1</t>
  </si>
  <si>
    <t>Cost of Living Increase</t>
  </si>
  <si>
    <t>Tuition C Y2</t>
  </si>
  <si>
    <t>Annual Private Loan Cost (@ 5.8% for 10 years)</t>
  </si>
  <si>
    <t>Salary During School</t>
  </si>
  <si>
    <t>Year</t>
  </si>
  <si>
    <t>Time Period</t>
  </si>
  <si>
    <t>NPV 1</t>
  </si>
  <si>
    <t>Net Income Option 1</t>
  </si>
  <si>
    <t>NPV 2</t>
  </si>
  <si>
    <t>Net Income Option 2</t>
  </si>
  <si>
    <t>NPV 3</t>
  </si>
  <si>
    <t>Net Income Option 3</t>
  </si>
  <si>
    <t>Straight to Job Market</t>
  </si>
  <si>
    <t>Rent</t>
  </si>
  <si>
    <t>Living</t>
  </si>
  <si>
    <t>Job</t>
  </si>
  <si>
    <t>Tax</t>
  </si>
  <si>
    <t>Tuition B</t>
  </si>
  <si>
    <t>Scholarships</t>
  </si>
  <si>
    <t>Tuition C</t>
  </si>
  <si>
    <t>Assumptions</t>
  </si>
  <si>
    <t>average living cost at least 1,000 https://transferwise.com/us/blog/cost-of-living-in-the-usa</t>
  </si>
  <si>
    <t>average salary increase per year is 2.9% https://www.mercer.us/our-thinking/career/2019-united-states-compensation-planning-survey-key-findings.html</t>
  </si>
  <si>
    <t>average mba salary out of school is 85k https://www.mbaonlinecolleges.com/mba-guides/mba-salary-expectations/</t>
  </si>
  <si>
    <t>assume working a job, earning 10k per year</t>
  </si>
  <si>
    <t>4.53 % for fed loan with 12.58% paid each year except last year</t>
  </si>
  <si>
    <t>5.8% for private loan with 13.34% paid each year with exception of last year https://www.nerdwallet.com/blog/loans/student-loans/student-loan-interest-rates/</t>
  </si>
  <si>
    <t>the most expensive affordable option is 10K https://www.onlineu.org/most-affordable-colleges/masters-degrees</t>
  </si>
  <si>
    <t>fed student loan</t>
  </si>
  <si>
    <t>Loan Calculator</t>
  </si>
  <si>
    <t xml:space="preserve">Loan Balance: </t>
  </si>
  <si>
    <t xml:space="preserve">Adjusted Loan Balance: </t>
  </si>
  <si>
    <t xml:space="preserve">Loan Interest Rate: </t>
  </si>
  <si>
    <t xml:space="preserve">Loan Fees: </t>
  </si>
  <si>
    <t xml:space="preserve">Loan Term: </t>
  </si>
  <si>
    <t>10 years</t>
  </si>
  <si>
    <t xml:space="preserve">Minimum Payment: </t>
  </si>
  <si>
    <t>Enrollment Status:</t>
  </si>
  <si>
    <t>Still in School</t>
  </si>
  <si>
    <t>Degree Program:</t>
  </si>
  <si>
    <t>Master's Degree</t>
  </si>
  <si>
    <t>Total Years in College:</t>
  </si>
  <si>
    <t>2 years</t>
  </si>
  <si>
    <t>Average Debt per Year:</t>
  </si>
  <si>
    <t>Monthly Loan Payment:</t>
  </si>
  <si>
    <t xml:space="preserve">Number of Payments: </t>
  </si>
  <si>
    <t xml:space="preserve">Cumulative Payments: </t>
  </si>
  <si>
    <t xml:space="preserve">Total Interest Paid: </t>
  </si>
  <si>
    <t>Private Loan</t>
  </si>
  <si>
    <t>Annual cost of this loan</t>
  </si>
  <si>
    <t>https://www.finaid.org/calculators/scripts/loanpayments.cgi</t>
  </si>
  <si>
    <t>Affordable Tuition</t>
  </si>
  <si>
    <t>Expensive Tuition (B)</t>
  </si>
  <si>
    <t>Affordable Tuition (C)</t>
  </si>
  <si>
    <t>Monthly Rent Expense</t>
  </si>
  <si>
    <t>Monthly Living Expense</t>
  </si>
  <si>
    <t>Annual Federal Loan Cost 
(@ 4.53% for 10 years)</t>
  </si>
  <si>
    <t>Assumes a high average cost of a 2-year program. 
For one year program, zero out Tuition in Year 2.</t>
  </si>
  <si>
    <t>Assumes a low average cost of a 2-year program. 
For one year program, zero out Tuition in Year 2.</t>
  </si>
  <si>
    <t>assume 1.9% annual cost increases for rent and living https://www.bls.gov/charts/consumer-price-index/consumer-price-index-by-category#</t>
  </si>
  <si>
    <t>effective tax is 10%, 22%, then 24% https://www.kiplinger.com/article/taxes/T056-C000-S001-what-are-the-income-tax-brackets-for-2020-vs-2019.html</t>
  </si>
  <si>
    <t>How much you think you'll earn in any of three scenarios, A, B, and C</t>
  </si>
  <si>
    <t>Assumes same numbers in all scenarios for simplicity</t>
  </si>
  <si>
    <t>Net Present Value of three options</t>
  </si>
  <si>
    <t>Assumes same numbers across all years in all scenarios for simplicity</t>
  </si>
  <si>
    <t>Get a Job Now!</t>
  </si>
  <si>
    <t>Assumed discount rate and school starting in the fall</t>
  </si>
  <si>
    <t>TimeTo50</t>
  </si>
  <si>
    <t>Time</t>
  </si>
  <si>
    <t>Rate</t>
  </si>
  <si>
    <t>Ceiling</t>
  </si>
  <si>
    <t>Annual Salary Increase</t>
  </si>
  <si>
    <t>wage growth at 3.6% in 2021
low wage earners grow faster, but with lower ceiling</t>
  </si>
  <si>
    <t>https://tradingeconomics.com/united-states/wage-growth</t>
  </si>
  <si>
    <t>https://www.cbsnews.com/news/low-wage-workers-are-getting-bigger-raises-than-bosses/</t>
  </si>
  <si>
    <t>Big Time Tution</t>
  </si>
  <si>
    <t>No School</t>
  </si>
  <si>
    <t>Big Time</t>
  </si>
  <si>
    <t>Affordable</t>
  </si>
  <si>
    <t>Annual Tuition Cost Assumptions</t>
  </si>
  <si>
    <t>Ave Annual Salary Increase</t>
  </si>
  <si>
    <t>YEARFRAC Value</t>
  </si>
  <si>
    <t>High Wage - Slow Growth</t>
  </si>
  <si>
    <t>High Wage - Income Increase</t>
  </si>
  <si>
    <t>Low Wage - Fast Growth</t>
  </si>
  <si>
    <t>Low Wage - Income Increase</t>
  </si>
  <si>
    <t>Medium Wage - Medium Growth</t>
  </si>
  <si>
    <t>Medium Wage - Income Increase</t>
  </si>
  <si>
    <t>Job (low wage growth model)</t>
  </si>
  <si>
    <t>Job (high wage growth model)</t>
  </si>
  <si>
    <t>Job (Medium wage growth model)</t>
  </si>
  <si>
    <t>Theory</t>
  </si>
  <si>
    <t>High wage earners will have a higher maximum potential to earn wages but will earn less sooner compared to low and medium wage tracks</t>
  </si>
  <si>
    <t>Low wage earners will have the lowest maximum potential to earn wages but will initially earn wages at a faster rate than high and medium wage tracks</t>
  </si>
  <si>
    <t>The increases between each period in the fisher pry model can reflect the annual salary increase in a non-linear path</t>
  </si>
  <si>
    <t>Most people will reach 50% of their annual salary earning potential within 3-5 years of starting a wage track and annual increases will slow as they approach the maximum potential</t>
  </si>
  <si>
    <t>Net Present Value of three options, with linear wage growth</t>
  </si>
  <si>
    <t>Net Present Value of three options, with non-linear wage growth</t>
  </si>
  <si>
    <t>Bad now (Job Now)</t>
  </si>
  <si>
    <t>Good later (Big Time Job)</t>
  </si>
  <si>
    <t>Good later (Medium Job)</t>
  </si>
  <si>
    <t>Value</t>
  </si>
  <si>
    <t>Probability Adjustments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</si>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</sst>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8" formatCode="&quot;$&quot;#,##0.00_);[Red]\(&quot;$&quot;#,##0.00\)"/>
    <numFmt numFmtId="42" formatCode="_(&quot;$&quot;* #,##0_);_(&quot;$&quot;* \(#,##0\);_(&quot;$&quot;* &quot;-&quot;_);_(@_)"/>
    <numFmt numFmtId="164" formatCode="0.0%"/>
    <numFmt numFmtId="165" formatCode="&quot;$&quot;#,##0"/>
    <numFmt numFmtId="166" formatCode="0.0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33669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8">
    <xf numFmtId="0" fontId="0" fillId="0" borderId="0" xfId="0"/>
    <xf numFmtId="0" fontId="1" fillId="0" borderId="0" xfId="0" applyFont="1"/>
    <xf numFmtId="5" fontId="0" fillId="0" borderId="0" xfId="0" applyNumberFormat="1"/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164" fontId="0" fillId="0" borderId="0" xfId="0" applyNumberFormat="1"/>
    <xf numFmtId="15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/>
    <xf numFmtId="42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42" fontId="0" fillId="0" borderId="0" xfId="0" applyNumberFormat="1" applyAlignment="1">
      <alignment horizontal="center" vertical="center"/>
    </xf>
    <xf numFmtId="165" fontId="0" fillId="0" borderId="0" xfId="0" applyNumberFormat="1"/>
    <xf numFmtId="0" fontId="0" fillId="0" borderId="0" xfId="0"/>
    <xf numFmtId="0" fontId="2" fillId="0" borderId="0" xfId="0" applyFont="1"/>
    <xf numFmtId="0" fontId="3" fillId="0" borderId="0" xfId="0" applyFont="1"/>
    <xf numFmtId="8" fontId="3" fillId="0" borderId="0" xfId="0" applyNumberFormat="1" applyFont="1"/>
    <xf numFmtId="10" fontId="3" fillId="0" borderId="0" xfId="0" applyNumberFormat="1" applyFont="1"/>
    <xf numFmtId="0" fontId="4" fillId="0" borderId="0" xfId="0" applyFont="1"/>
    <xf numFmtId="8" fontId="4" fillId="0" borderId="0" xfId="0" applyNumberFormat="1" applyFont="1"/>
    <xf numFmtId="0" fontId="0" fillId="0" borderId="0" xfId="0"/>
    <xf numFmtId="0" fontId="1" fillId="0" borderId="1" xfId="0" applyFont="1" applyBorder="1" applyAlignment="1">
      <alignment horizontal="center" vertical="center"/>
    </xf>
    <xf numFmtId="42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4" xfId="0" applyNumberFormat="1" applyBorder="1" applyAlignment="1">
      <alignment horizontal="left"/>
    </xf>
    <xf numFmtId="42" fontId="0" fillId="0" borderId="0" xfId="0" applyNumberFormat="1" applyBorder="1"/>
    <xf numFmtId="42" fontId="0" fillId="0" borderId="5" xfId="0" applyNumberFormat="1" applyBorder="1"/>
    <xf numFmtId="0" fontId="0" fillId="0" borderId="4" xfId="0" applyBorder="1" applyAlignment="1">
      <alignment horizontal="left"/>
    </xf>
    <xf numFmtId="5" fontId="0" fillId="0" borderId="0" xfId="0" applyNumberFormat="1" applyBorder="1"/>
    <xf numFmtId="0" fontId="0" fillId="0" borderId="4" xfId="0" applyBorder="1"/>
    <xf numFmtId="0" fontId="1" fillId="0" borderId="6" xfId="0" applyFont="1" applyBorder="1"/>
    <xf numFmtId="42" fontId="0" fillId="0" borderId="7" xfId="0" applyNumberFormat="1" applyBorder="1" applyAlignment="1">
      <alignment horizontal="center" vertical="center"/>
    </xf>
    <xf numFmtId="42" fontId="0" fillId="0" borderId="7" xfId="0" applyNumberFormat="1" applyBorder="1"/>
    <xf numFmtId="42" fontId="0" fillId="0" borderId="8" xfId="0" applyNumberFormat="1" applyBorder="1"/>
    <xf numFmtId="0" fontId="0" fillId="0" borderId="4" xfId="0" applyBorder="1" applyAlignment="1">
      <alignment horizontal="left" vertical="center"/>
    </xf>
    <xf numFmtId="42" fontId="0" fillId="0" borderId="0" xfId="0" applyNumberFormat="1" applyBorder="1" applyAlignment="1">
      <alignment horizontal="center" vertical="center"/>
    </xf>
    <xf numFmtId="42" fontId="0" fillId="0" borderId="5" xfId="0" applyNumberFormat="1" applyBorder="1" applyAlignment="1">
      <alignment horizontal="center" vertical="center"/>
    </xf>
    <xf numFmtId="42" fontId="0" fillId="0" borderId="2" xfId="0" applyNumberFormat="1" applyBorder="1" applyAlignment="1">
      <alignment horizontal="center" vertical="center"/>
    </xf>
    <xf numFmtId="42" fontId="0" fillId="0" borderId="3" xfId="0" applyNumberFormat="1" applyBorder="1"/>
    <xf numFmtId="0" fontId="1" fillId="0" borderId="0" xfId="0" applyFont="1" applyBorder="1"/>
    <xf numFmtId="5" fontId="0" fillId="0" borderId="5" xfId="0" applyNumberFormat="1" applyBorder="1"/>
    <xf numFmtId="0" fontId="1" fillId="0" borderId="7" xfId="0" applyFont="1" applyBorder="1"/>
    <xf numFmtId="5" fontId="0" fillId="0" borderId="8" xfId="0" applyNumberFormat="1" applyBorder="1"/>
    <xf numFmtId="0" fontId="1" fillId="0" borderId="2" xfId="0" applyFont="1" applyBorder="1" applyAlignment="1">
      <alignment horizontal="center" vertical="center"/>
    </xf>
    <xf numFmtId="10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 vertical="center"/>
    </xf>
    <xf numFmtId="15" fontId="0" fillId="0" borderId="0" xfId="0" applyNumberFormat="1" applyFont="1"/>
    <xf numFmtId="166" fontId="0" fillId="0" borderId="0" xfId="0" applyNumberFormat="1" applyAlignment="1">
      <alignment horizontal="center" vertical="center"/>
    </xf>
    <xf numFmtId="0" fontId="1" fillId="0" borderId="4" xfId="0" applyFont="1" applyBorder="1"/>
    <xf numFmtId="0" fontId="0" fillId="0" borderId="5" xfId="0" applyBorder="1" applyAlignment="1">
      <alignment horizontal="center" vertical="center"/>
    </xf>
    <xf numFmtId="15" fontId="0" fillId="0" borderId="8" xfId="0" applyNumberFormat="1" applyBorder="1" applyAlignment="1">
      <alignment horizontal="center" vertical="center"/>
    </xf>
    <xf numFmtId="0" fontId="0" fillId="0" borderId="0" xfId="0" applyAlignment="1"/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5" fontId="0" fillId="0" borderId="7" xfId="0" applyNumberFormat="1" applyBorder="1"/>
    <xf numFmtId="0" fontId="5" fillId="0" borderId="3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5" fillId="0" borderId="5" xfId="0" applyFont="1" applyBorder="1" applyAlignment="1">
      <alignment horizontal="left" vertical="top"/>
    </xf>
    <xf numFmtId="164" fontId="0" fillId="0" borderId="5" xfId="0" applyNumberFormat="1" applyBorder="1"/>
    <xf numFmtId="164" fontId="0" fillId="0" borderId="8" xfId="0" applyNumberFormat="1" applyBorder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0" fontId="0" fillId="0" borderId="2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0" fontId="0" fillId="0" borderId="7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0" fontId="5" fillId="0" borderId="1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164" fontId="0" fillId="0" borderId="5" xfId="0" applyNumberFormat="1" applyBorder="1" applyAlignment="1">
      <alignment horizontal="center" vertical="center"/>
    </xf>
    <xf numFmtId="0" fontId="5" fillId="0" borderId="0" xfId="0" applyFont="1" applyBorder="1" applyAlignment="1">
      <alignment vertical="top" wrapText="1"/>
    </xf>
    <xf numFmtId="0" fontId="1" fillId="0" borderId="0" xfId="0" applyFont="1" applyAlignment="1">
      <alignment horizontal="right"/>
    </xf>
    <xf numFmtId="9" fontId="0" fillId="0" borderId="0" xfId="0" applyNumberFormat="1"/>
    <xf numFmtId="42" fontId="0" fillId="2" borderId="0" xfId="0" applyNumberFormat="1" applyFill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42" fontId="0" fillId="0" borderId="0" xfId="0" applyNumberFormat="1" applyFill="1"/>
    <xf numFmtId="0" fontId="0" fillId="0" borderId="0" xfId="0" applyFill="1"/>
    <xf numFmtId="2" fontId="0" fillId="0" borderId="0" xfId="0" applyNumberFormat="1"/>
    <xf numFmtId="0" fontId="0" fillId="0" borderId="0" xfId="0" applyAlignment="1">
      <alignment wrapText="1"/>
    </xf>
    <xf numFmtId="42" fontId="5" fillId="0" borderId="5" xfId="0" applyNumberFormat="1" applyFont="1" applyBorder="1" applyAlignment="1">
      <alignment vertical="top" wrapText="1"/>
    </xf>
    <xf numFmtId="42" fontId="5" fillId="0" borderId="8" xfId="0" applyNumberFormat="1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5" fillId="0" borderId="0" xfId="0" quotePrefix="1" applyFont="1"/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" fillId="2" borderId="4" xfId="0" applyFont="1" applyFill="1" applyBorder="1"/>
    <xf numFmtId="42" fontId="0" fillId="2" borderId="5" xfId="0" applyNumberFormat="1" applyFill="1" applyBorder="1"/>
    <xf numFmtId="0" fontId="1" fillId="2" borderId="6" xfId="0" applyFont="1" applyFill="1" applyBorder="1"/>
    <xf numFmtId="42" fontId="0" fillId="2" borderId="8" xfId="0" applyNumberFormat="1" applyFill="1" applyBorder="1"/>
    <xf numFmtId="0" fontId="5" fillId="0" borderId="2" xfId="0" applyFont="1" applyBorder="1" applyAlignment="1">
      <alignment horizontal="left" vertical="top"/>
    </xf>
    <xf numFmtId="0" fontId="0" fillId="0" borderId="4" xfId="0" applyBorder="1" applyAlignment="1">
      <alignment horizontal="right"/>
    </xf>
    <xf numFmtId="9" fontId="0" fillId="0" borderId="5" xfId="0" applyNumberFormat="1" applyFont="1" applyBorder="1" applyAlignment="1">
      <alignment horizontal="left"/>
    </xf>
    <xf numFmtId="0" fontId="0" fillId="0" borderId="6" xfId="0" applyBorder="1" applyAlignment="1">
      <alignment horizontal="right"/>
    </xf>
    <xf numFmtId="9" fontId="0" fillId="0" borderId="8" xfId="0" applyNumberFormat="1" applyFont="1" applyBorder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theory on Wage</a:t>
            </a:r>
            <a:r>
              <a:rPr lang="en-US" baseline="0"/>
              <a:t> Growth Tracks - High, Medium, and Low Wage Earners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FisherPryWageGrowth!$D$9</c:f>
              <c:strCache>
                <c:ptCount val="1"/>
                <c:pt idx="0">
                  <c:v>Medium Wage - Medium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FisherPryWageGrowth!$E$9:$O$9</c:f>
              <c:numCache>
                <c:formatCode>0.00%</c:formatCode>
                <c:ptCount val="11"/>
                <c:pt idx="0">
                  <c:v>0.17360641237573674</c:v>
                </c:pt>
                <c:pt idx="1">
                  <c:v>0.23251913915429068</c:v>
                </c:pt>
                <c:pt idx="2">
                  <c:v>0.300984254915661</c:v>
                </c:pt>
                <c:pt idx="3">
                  <c:v>0.375</c:v>
                </c:pt>
                <c:pt idx="4">
                  <c:v>0.449015745084339</c:v>
                </c:pt>
                <c:pt idx="5">
                  <c:v>0.51748086084570932</c:v>
                </c:pt>
                <c:pt idx="6">
                  <c:v>0.57639358762426329</c:v>
                </c:pt>
                <c:pt idx="7">
                  <c:v>0.62401378885044334</c:v>
                </c:pt>
                <c:pt idx="8">
                  <c:v>0.66059780848341176</c:v>
                </c:pt>
                <c:pt idx="9">
                  <c:v>0.68762047762955825</c:v>
                </c:pt>
                <c:pt idx="10">
                  <c:v>0.70700686807584845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D-B243-BD6C-25019ED0676C}"/>
            </c:ext>
          </c:extLst>
        </c:ser>
        <c:ser>
          <c:idx val="1"/>
          <c:order val="1"/>
          <c:tx>
            <c:strRef>
              <c:f>FisherPryWageGrowth!$D$10</c:f>
              <c:strCache>
                <c:ptCount val="1"/>
                <c:pt idx="0">
                  <c:v>Medium Wage - Income 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FisherPryWageGrowth!$E$10:$O$10</c:f>
              <c:numCache>
                <c:formatCode>0.00%</c:formatCode>
                <c:ptCount val="11"/>
                <c:pt idx="0">
                  <c:v>5.8912726778553942E-2</c:v>
                </c:pt>
                <c:pt idx="1">
                  <c:v>6.8465115761370321E-2</c:v>
                </c:pt>
                <c:pt idx="2">
                  <c:v>7.4015745084339002E-2</c:v>
                </c:pt>
                <c:pt idx="3">
                  <c:v>7.4015745084339002E-2</c:v>
                </c:pt>
                <c:pt idx="4">
                  <c:v>6.8465115761370321E-2</c:v>
                </c:pt>
                <c:pt idx="5">
                  <c:v>5.891272677855397E-2</c:v>
                </c:pt>
                <c:pt idx="6">
                  <c:v>4.7620201226180048E-2</c:v>
                </c:pt>
                <c:pt idx="7">
                  <c:v>3.6584019632968423E-2</c:v>
                </c:pt>
                <c:pt idx="8">
                  <c:v>2.7022669146146483E-2</c:v>
                </c:pt>
                <c:pt idx="9">
                  <c:v>1.9386390446290203E-2</c:v>
                </c:pt>
                <c:pt idx="10">
                  <c:v>1.36188398265783E-2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5D-B243-BD6C-25019ED0676C}"/>
            </c:ext>
          </c:extLst>
        </c:ser>
        <c:ser>
          <c:idx val="2"/>
          <c:order val="2"/>
          <c:tx>
            <c:strRef>
              <c:f>FisherPryWageGrowth!$D$11</c:f>
              <c:strCache>
                <c:ptCount val="1"/>
                <c:pt idx="0">
                  <c:v>High Wage - Slow 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FisherPryWageGrowth!$E$11:$O$11</c:f>
              <c:numCache>
                <c:formatCode>0.00%</c:formatCode>
                <c:ptCount val="11"/>
                <c:pt idx="0">
                  <c:v>0.45016600268752216</c:v>
                </c:pt>
                <c:pt idx="1">
                  <c:v>0.5</c:v>
                </c:pt>
                <c:pt idx="2">
                  <c:v>0.54983399731247795</c:v>
                </c:pt>
                <c:pt idx="3">
                  <c:v>0.598687660112452</c:v>
                </c:pt>
                <c:pt idx="4">
                  <c:v>0.6456563062257954</c:v>
                </c:pt>
                <c:pt idx="5">
                  <c:v>0.6899744811276125</c:v>
                </c:pt>
                <c:pt idx="6">
                  <c:v>0.7310585786300049</c:v>
                </c:pt>
                <c:pt idx="7">
                  <c:v>0.76852478349901776</c:v>
                </c:pt>
                <c:pt idx="8">
                  <c:v>0.8021838885585818</c:v>
                </c:pt>
                <c:pt idx="9">
                  <c:v>0.83201838513392445</c:v>
                </c:pt>
                <c:pt idx="10">
                  <c:v>0.85814893509951229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5D-B243-BD6C-25019ED0676C}"/>
            </c:ext>
          </c:extLst>
        </c:ser>
        <c:ser>
          <c:idx val="3"/>
          <c:order val="3"/>
          <c:tx>
            <c:strRef>
              <c:f>FisherPryWageGrowth!$D$12</c:f>
              <c:strCache>
                <c:ptCount val="1"/>
                <c:pt idx="0">
                  <c:v>High Wage - Income Increase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1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FisherPryWageGrowth!$E$12:$O$12</c:f>
              <c:numCache>
                <c:formatCode>0.00%</c:formatCode>
                <c:ptCount val="11"/>
                <c:pt idx="0">
                  <c:v>4.983399731247784E-2</c:v>
                </c:pt>
                <c:pt idx="1">
                  <c:v>4.9833997312477951E-2</c:v>
                </c:pt>
                <c:pt idx="2">
                  <c:v>4.8853662799974051E-2</c:v>
                </c:pt>
                <c:pt idx="3">
                  <c:v>4.6968646113343393E-2</c:v>
                </c:pt>
                <c:pt idx="4">
                  <c:v>4.4318174901817109E-2</c:v>
                </c:pt>
                <c:pt idx="5">
                  <c:v>4.1084097502392392E-2</c:v>
                </c:pt>
                <c:pt idx="6">
                  <c:v>3.7466204869012865E-2</c:v>
                </c:pt>
                <c:pt idx="7">
                  <c:v>3.3659105059564043E-2</c:v>
                </c:pt>
                <c:pt idx="8">
                  <c:v>2.9834496575342651E-2</c:v>
                </c:pt>
                <c:pt idx="9">
                  <c:v>2.6130549965587835E-2</c:v>
                </c:pt>
                <c:pt idx="10">
                  <c:v>2.2648142878370026E-2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5D-B243-BD6C-25019ED0676C}"/>
            </c:ext>
          </c:extLst>
        </c:ser>
        <c:ser>
          <c:idx val="4"/>
          <c:order val="4"/>
          <c:tx>
            <c:strRef>
              <c:f>FisherPryWageGrowth!$D$13</c:f>
              <c:strCache>
                <c:ptCount val="1"/>
                <c:pt idx="0">
                  <c:v>Low Wage - Fast Growth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FisherPryWageGrowth!$E$13:$O$13</c:f>
              <c:numCache>
                <c:formatCode>0.00%</c:formatCode>
                <c:ptCount val="11"/>
                <c:pt idx="0">
                  <c:v>8.3990807433037759E-2</c:v>
                </c:pt>
                <c:pt idx="1">
                  <c:v>0.15501275943619378</c:v>
                </c:pt>
                <c:pt idx="2">
                  <c:v>0.25</c:v>
                </c:pt>
                <c:pt idx="3">
                  <c:v>0.34498724056380625</c:v>
                </c:pt>
                <c:pt idx="4">
                  <c:v>0.41600919256696223</c:v>
                </c:pt>
                <c:pt idx="5">
                  <c:v>0.45841365175303883</c:v>
                </c:pt>
                <c:pt idx="6">
                  <c:v>0.48041713860161783</c:v>
                </c:pt>
                <c:pt idx="7">
                  <c:v>0.49100689501895423</c:v>
                </c:pt>
                <c:pt idx="8">
                  <c:v>0.49591871442342006</c:v>
                </c:pt>
                <c:pt idx="9">
                  <c:v>0.49815788005028205</c:v>
                </c:pt>
                <c:pt idx="10">
                  <c:v>0.49917059945991277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5D-B243-BD6C-25019ED0676C}"/>
            </c:ext>
          </c:extLst>
        </c:ser>
        <c:ser>
          <c:idx val="5"/>
          <c:order val="5"/>
          <c:tx>
            <c:strRef>
              <c:f>FisherPryWageGrowth!$D$14</c:f>
              <c:strCache>
                <c:ptCount val="1"/>
                <c:pt idx="0">
                  <c:v>Low Wage - Income Increase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FisherPryWageGrowth!$E$14:$O$14</c:f>
              <c:numCache>
                <c:formatCode>0.00%</c:formatCode>
                <c:ptCount val="11"/>
                <c:pt idx="0">
                  <c:v>7.1021952003156016E-2</c:v>
                </c:pt>
                <c:pt idx="1">
                  <c:v>9.4987240563806224E-2</c:v>
                </c:pt>
                <c:pt idx="2">
                  <c:v>9.4987240563806252E-2</c:v>
                </c:pt>
                <c:pt idx="3">
                  <c:v>7.1021952003155975E-2</c:v>
                </c:pt>
                <c:pt idx="4">
                  <c:v>4.2404459186076604E-2</c:v>
                </c:pt>
                <c:pt idx="5">
                  <c:v>2.2003486848579001E-2</c:v>
                </c:pt>
                <c:pt idx="6">
                  <c:v>1.0589756417336393E-2</c:v>
                </c:pt>
                <c:pt idx="7">
                  <c:v>4.9118194044658336E-3</c:v>
                </c:pt>
                <c:pt idx="8">
                  <c:v>2.2391656268619942E-3</c:v>
                </c:pt>
                <c:pt idx="9">
                  <c:v>1.0127194096307135E-3</c:v>
                </c:pt>
                <c:pt idx="10">
                  <c:v>4.5638612316889482E-4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5D-B243-BD6C-25019ED06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829167"/>
        <c:axId val="191830799"/>
      </c:lineChart>
      <c:catAx>
        <c:axId val="191829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30799"/>
        <c:crosses val="autoZero"/>
        <c:auto val="1"/>
        <c:lblAlgn val="ctr"/>
        <c:lblOffset val="100"/>
        <c:noMultiLvlLbl val="0"/>
      </c:catAx>
      <c:valAx>
        <c:axId val="19183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838200</xdr:colOff>
      <xdr:row>15</xdr:row>
      <xdr:rowOff>32204</xdr:rowOff>
    </xdr:from>
    <xdr:to>
      <xdr:col>16</xdr:col>
      <xdr:colOff>4081</xdr:colOff>
      <xdr:row>38</xdr:row>
      <xdr:rowOff>160112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04AE1D-E53F-FA48-AEEA-95990EF72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ing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alculations"/>
      <sheetName val="Data"/>
      <sheetName val="FisherPryBasic"/>
      <sheetName val="NPV"/>
    </sheetNames>
    <sheetDataSet>
      <sheetData sheetId="0" refreshError="1"/>
      <sheetData sheetId="1" refreshError="1"/>
      <sheetData sheetId="2" refreshError="1"/>
      <sheetData sheetId="3">
        <row r="8">
          <cell r="C8" t="str">
            <v>Medium</v>
          </cell>
          <cell r="D8">
            <v>0.11920292202211755</v>
          </cell>
          <cell r="E8">
            <v>0.18242552380635635</v>
          </cell>
          <cell r="F8">
            <v>0.2689414213699951</v>
          </cell>
          <cell r="G8">
            <v>0.37754066879814541</v>
          </cell>
          <cell r="H8">
            <v>0.5</v>
          </cell>
          <cell r="I8">
            <v>0.62245933120185459</v>
          </cell>
          <cell r="J8">
            <v>0.7310585786300049</v>
          </cell>
          <cell r="K8">
            <v>0.81757447619364365</v>
          </cell>
          <cell r="L8">
            <v>0.88079707797788231</v>
          </cell>
          <cell r="M8">
            <v>0.92414181997875655</v>
          </cell>
          <cell r="N8">
            <v>0.95257412682243336</v>
          </cell>
        </row>
        <row r="9">
          <cell r="C9" t="str">
            <v>Slow</v>
          </cell>
          <cell r="D9">
            <v>0.401312339887548</v>
          </cell>
          <cell r="E9">
            <v>0.42555748318834102</v>
          </cell>
          <cell r="F9">
            <v>0.45016600268752216</v>
          </cell>
          <cell r="G9">
            <v>0.47502081252105999</v>
          </cell>
          <cell r="H9">
            <v>0.5</v>
          </cell>
          <cell r="I9">
            <v>0.52497918747894001</v>
          </cell>
          <cell r="J9">
            <v>0.54983399731247795</v>
          </cell>
          <cell r="K9">
            <v>0.57444251681165903</v>
          </cell>
          <cell r="L9">
            <v>0.598687660112452</v>
          </cell>
          <cell r="M9">
            <v>0.62245933120185459</v>
          </cell>
          <cell r="N9">
            <v>0.6456563062257954</v>
          </cell>
        </row>
        <row r="10">
          <cell r="C10" t="str">
            <v>Fast</v>
          </cell>
          <cell r="D10">
            <v>3.3535013046647811E-4</v>
          </cell>
          <cell r="E10">
            <v>2.4726231566347743E-3</v>
          </cell>
          <cell r="F10">
            <v>1.7986209962091559E-2</v>
          </cell>
          <cell r="G10">
            <v>0.11920292202211755</v>
          </cell>
          <cell r="H10">
            <v>0.5</v>
          </cell>
          <cell r="I10">
            <v>0.88079707797788231</v>
          </cell>
          <cell r="J10">
            <v>0.98201379003790845</v>
          </cell>
          <cell r="K10">
            <v>0.99752737684336534</v>
          </cell>
          <cell r="L10">
            <v>0.99966464986953363</v>
          </cell>
          <cell r="M10">
            <v>0.99995460213129761</v>
          </cell>
          <cell r="N10">
            <v>0.99999385582539779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cbsnews.com/news/low-wage-workers-are-getting-bigger-raises-than-boss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36C28-1435-3748-B9D1-9746B7EB8A8E}">
  <dimension ref="A1:O17"/>
  <sheetViews>
    <sheetView tabSelected="1" zoomScaleNormal="100" workbookViewId="0">
      <selection activeCell="F34" sqref="F34"/>
    </sheetView>
  </sheetViews>
  <sheetFormatPr baseColWidth="10" defaultRowHeight="16"/>
  <cols>
    <col min="1" max="1" width="15.6640625" style="14" bestFit="1" customWidth="1"/>
    <col min="2" max="2" width="25.5" style="14" bestFit="1" customWidth="1"/>
    <col min="3" max="3" width="20.1640625" style="14" bestFit="1" customWidth="1"/>
    <col min="4" max="4" width="11.6640625" style="14" bestFit="1" customWidth="1"/>
    <col min="5" max="5" width="11" style="14" bestFit="1" customWidth="1"/>
    <col min="6" max="6" width="10" style="14" bestFit="1" customWidth="1"/>
    <col min="7" max="7" width="13" style="14" bestFit="1" customWidth="1"/>
    <col min="8" max="8" width="12.6640625" style="14" bestFit="1" customWidth="1"/>
    <col min="9" max="9" width="20.1640625" style="14" bestFit="1" customWidth="1"/>
    <col min="10" max="10" width="10" style="14" bestFit="1" customWidth="1"/>
    <col min="11" max="11" width="12.83203125" style="14" bestFit="1" customWidth="1"/>
    <col min="12" max="12" width="12.6640625" style="14" bestFit="1" customWidth="1"/>
    <col min="13" max="13" width="10.6640625" style="14" bestFit="1" customWidth="1"/>
    <col min="14" max="16384" width="10.83203125" style="14"/>
  </cols>
  <sheetData>
    <row r="1" spans="1:15" ht="16" customHeight="1">
      <c r="B1" s="56" t="s">
        <v>72</v>
      </c>
      <c r="C1" s="58"/>
      <c r="E1" s="56" t="s">
        <v>90</v>
      </c>
      <c r="F1" s="58"/>
      <c r="G1" s="95" t="s">
        <v>91</v>
      </c>
      <c r="I1" s="100" t="s">
        <v>74</v>
      </c>
      <c r="J1" s="101"/>
      <c r="L1" s="76" t="s">
        <v>77</v>
      </c>
      <c r="M1" s="77"/>
    </row>
    <row r="2" spans="1:15">
      <c r="A2" s="48"/>
      <c r="B2" s="59"/>
      <c r="C2" s="61"/>
      <c r="E2" s="59"/>
      <c r="F2" s="61"/>
      <c r="G2" s="96"/>
      <c r="I2" s="102"/>
      <c r="J2" s="103"/>
      <c r="L2" s="78"/>
      <c r="M2" s="79"/>
    </row>
    <row r="3" spans="1:15" ht="17">
      <c r="A3" s="41"/>
      <c r="B3" s="52" t="s">
        <v>76</v>
      </c>
      <c r="C3" s="28">
        <v>55000</v>
      </c>
      <c r="E3" s="93" t="s">
        <v>87</v>
      </c>
      <c r="F3" s="91">
        <v>0</v>
      </c>
      <c r="G3" s="96"/>
      <c r="I3" s="104" t="str">
        <f>"NPV "&amp;B3</f>
        <v>NPV Get a Job Now!</v>
      </c>
      <c r="J3" s="105">
        <f>XNPV($M$3,B10:M10,$B$8:$M$8)</f>
        <v>626196.52211807377</v>
      </c>
      <c r="L3" s="52" t="s">
        <v>0</v>
      </c>
      <c r="M3" s="80">
        <v>0.02</v>
      </c>
    </row>
    <row r="4" spans="1:15" ht="17">
      <c r="A4" s="41"/>
      <c r="B4" s="52" t="s">
        <v>86</v>
      </c>
      <c r="C4" s="28">
        <v>85000</v>
      </c>
      <c r="E4" s="93" t="s">
        <v>88</v>
      </c>
      <c r="F4" s="91">
        <v>50000</v>
      </c>
      <c r="G4" s="97">
        <v>2.9000000000000001E-2</v>
      </c>
      <c r="I4" s="104" t="str">
        <f t="shared" ref="I4:I5" si="0">"NPV "&amp;B4</f>
        <v>NPV Big Time Tution</v>
      </c>
      <c r="J4" s="105">
        <f>XNPV($M$3,B12:M12,$B$8:$M$8)</f>
        <v>656255.41163476324</v>
      </c>
      <c r="L4" s="31"/>
      <c r="M4" s="53"/>
    </row>
    <row r="5" spans="1:15" ht="17">
      <c r="A5" s="41"/>
      <c r="B5" s="32" t="s">
        <v>62</v>
      </c>
      <c r="C5" s="35">
        <v>65000</v>
      </c>
      <c r="E5" s="94" t="s">
        <v>89</v>
      </c>
      <c r="F5" s="92">
        <v>15000</v>
      </c>
      <c r="G5" s="98"/>
      <c r="I5" s="106" t="str">
        <f t="shared" si="0"/>
        <v>NPV Affordable Tuition</v>
      </c>
      <c r="J5" s="107">
        <f>XNPV($M$3,B14:M14,$B$8:$M$8)</f>
        <v>547405.2430449659</v>
      </c>
      <c r="L5" s="32" t="s">
        <v>9</v>
      </c>
      <c r="M5" s="54">
        <v>44075</v>
      </c>
    </row>
    <row r="6" spans="1:15">
      <c r="A6" s="41"/>
      <c r="B6" s="1"/>
      <c r="C6" s="2"/>
      <c r="E6" s="81"/>
      <c r="F6" s="81"/>
      <c r="G6" s="81"/>
      <c r="H6" s="1"/>
      <c r="I6" s="9"/>
      <c r="J6" s="81"/>
      <c r="K6" s="81"/>
      <c r="L6" s="81"/>
      <c r="M6" s="2"/>
      <c r="O6" s="2"/>
    </row>
    <row r="7" spans="1:15">
      <c r="A7" s="1"/>
      <c r="B7" s="1"/>
      <c r="C7" s="5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5">
      <c r="A8" s="1" t="s">
        <v>15</v>
      </c>
      <c r="B8" s="50">
        <f>M5</f>
        <v>44075</v>
      </c>
      <c r="C8" s="4">
        <f>B8+DATE(0,6,30)</f>
        <v>44257</v>
      </c>
      <c r="D8" s="4">
        <f>C8+DATE(1,0,30)</f>
        <v>44622</v>
      </c>
      <c r="E8" s="4">
        <f t="shared" ref="E8:M8" si="1">D8+DATE(1,0,30)</f>
        <v>44987</v>
      </c>
      <c r="F8" s="4">
        <f t="shared" si="1"/>
        <v>45352</v>
      </c>
      <c r="G8" s="4">
        <f t="shared" si="1"/>
        <v>45717</v>
      </c>
      <c r="H8" s="4">
        <f t="shared" si="1"/>
        <v>46082</v>
      </c>
      <c r="I8" s="4">
        <f t="shared" si="1"/>
        <v>46447</v>
      </c>
      <c r="J8" s="4">
        <f t="shared" si="1"/>
        <v>46812</v>
      </c>
      <c r="K8" s="4">
        <f t="shared" si="1"/>
        <v>47177</v>
      </c>
      <c r="L8" s="4">
        <f t="shared" si="1"/>
        <v>47542</v>
      </c>
      <c r="M8" s="4">
        <f t="shared" si="1"/>
        <v>47907</v>
      </c>
    </row>
    <row r="9" spans="1:15">
      <c r="A9" s="1" t="s">
        <v>16</v>
      </c>
      <c r="B9" s="51">
        <v>0</v>
      </c>
      <c r="C9" s="3">
        <v>0.5</v>
      </c>
      <c r="D9" s="3">
        <v>1.5</v>
      </c>
      <c r="E9" s="3">
        <v>2.5</v>
      </c>
      <c r="F9" s="3">
        <v>3.5</v>
      </c>
      <c r="G9" s="3">
        <v>4.5</v>
      </c>
      <c r="H9" s="3">
        <v>5.5</v>
      </c>
      <c r="I9" s="3">
        <v>6.5</v>
      </c>
      <c r="J9" s="3">
        <v>7.5</v>
      </c>
      <c r="K9" s="3">
        <v>8.5</v>
      </c>
      <c r="L9" s="3">
        <v>9.5</v>
      </c>
      <c r="M9" s="3">
        <v>10.5</v>
      </c>
    </row>
    <row r="10" spans="1:15">
      <c r="A10" s="1" t="str">
        <f>B3</f>
        <v>Get a Job Now!</v>
      </c>
      <c r="B10" s="9">
        <v>0</v>
      </c>
      <c r="C10" s="9">
        <v>55000</v>
      </c>
      <c r="D10" s="9">
        <f>C10*(1+$G$4)</f>
        <v>56594.999999999993</v>
      </c>
      <c r="E10" s="9">
        <f>D10*(1+$G$4)</f>
        <v>58236.25499999999</v>
      </c>
      <c r="F10" s="9">
        <f>E10*(1+$G$4)</f>
        <v>59925.106394999988</v>
      </c>
      <c r="G10" s="9">
        <f>F10*(1+$G$4)</f>
        <v>61662.934480454984</v>
      </c>
      <c r="H10" s="9">
        <f>G10*(1+$G$4)</f>
        <v>63451.159580388172</v>
      </c>
      <c r="I10" s="9">
        <f>H10*(1+$G$4)</f>
        <v>65291.243208219421</v>
      </c>
      <c r="J10" s="9">
        <f>I10*(1+$G$4)</f>
        <v>67184.689261257779</v>
      </c>
      <c r="K10" s="9">
        <f>J10*(1+$G$4)</f>
        <v>69133.045249834249</v>
      </c>
      <c r="L10" s="9">
        <f>K10*(1+$G$4)</f>
        <v>71137.903562079431</v>
      </c>
      <c r="M10" s="9">
        <f>L10*(1+$G$4)</f>
        <v>73200.902765379724</v>
      </c>
    </row>
    <row r="11" spans="1:15">
      <c r="A11" s="82"/>
      <c r="B11" s="85" t="s">
        <v>17</v>
      </c>
      <c r="C11" s="84">
        <f>C10/(1+$M$3)^YEARFRAC($B$8, C$8)</f>
        <v>54455.119352350055</v>
      </c>
      <c r="D11" s="84">
        <f>D10/(1+$M$3)^YEARFRAC($B$8, D$8)</f>
        <v>54935.60569957667</v>
      </c>
      <c r="E11" s="84">
        <f>E10/(1+$M$3)^YEARFRAC($B$8, E$8)</f>
        <v>55420.33163221999</v>
      </c>
      <c r="F11" s="84">
        <f>F10/(1+$M$3)^YEARFRAC($B$8, F$8)</f>
        <v>55912.410064403048</v>
      </c>
      <c r="G11" s="84">
        <f>G10/(1+$M$3)^YEARFRAC($B$8, G$8)</f>
        <v>56405.754859088956</v>
      </c>
      <c r="H11" s="84">
        <f>H10/(1+$M$3)^YEARFRAC($B$8, H$8)</f>
        <v>56903.452696080909</v>
      </c>
      <c r="I11" s="84">
        <f>I10/(1+$M$3)^YEARFRAC($B$8, I$8)</f>
        <v>57405.541984575728</v>
      </c>
      <c r="J11" s="84">
        <f>J10/(1+$M$3)^YEARFRAC($B$8, J$8)</f>
        <v>57918.432995200383</v>
      </c>
      <c r="K11" s="84">
        <f>K10/(1+$M$3)^YEARFRAC($B$8, K$8)</f>
        <v>58432.692128327035</v>
      </c>
      <c r="L11" s="84">
        <f>L10/(1+$M$3)^YEARFRAC($B$8, L$8)</f>
        <v>58948.274705929914</v>
      </c>
      <c r="M11" s="84">
        <f>M10/(1+$M$3)^YEARFRAC($B$8, M$8)</f>
        <v>59468.406541570468</v>
      </c>
      <c r="N11" s="86" t="s">
        <v>17</v>
      </c>
    </row>
    <row r="12" spans="1:15">
      <c r="A12" s="1" t="str">
        <f>B4</f>
        <v>Big Time Tution</v>
      </c>
      <c r="B12" s="87">
        <v>0</v>
      </c>
      <c r="C12" s="87">
        <f>-$F$4</f>
        <v>-50000</v>
      </c>
      <c r="D12" s="87">
        <f>-$F$4</f>
        <v>-50000</v>
      </c>
      <c r="E12" s="87">
        <f>C4</f>
        <v>85000</v>
      </c>
      <c r="F12" s="87">
        <f>E12*(1+$G$4)</f>
        <v>87465</v>
      </c>
      <c r="G12" s="87">
        <f>F12*(1+$G$4)</f>
        <v>90001.484999999986</v>
      </c>
      <c r="H12" s="87">
        <f>G12*(1+$G$4)</f>
        <v>92611.528064999977</v>
      </c>
      <c r="I12" s="87">
        <f>H12*(1+$G$4)</f>
        <v>95297.262378884974</v>
      </c>
      <c r="J12" s="87">
        <f>I12*(1+$G$4)</f>
        <v>98060.882987872625</v>
      </c>
      <c r="K12" s="87">
        <f>J12*(1+$G$4)</f>
        <v>100904.64859452093</v>
      </c>
      <c r="L12" s="87">
        <f>K12*(1+$G$4)</f>
        <v>103830.88340376203</v>
      </c>
      <c r="M12" s="87">
        <f>L12*(1+$G$4)</f>
        <v>106841.97902247112</v>
      </c>
      <c r="N12" s="88"/>
    </row>
    <row r="13" spans="1:15">
      <c r="A13" s="82"/>
      <c r="B13" s="85" t="s">
        <v>19</v>
      </c>
      <c r="C13" s="84">
        <f>C12/(1+$M$3)^YEARFRAC($B$8, C$8)</f>
        <v>-49504.653956681868</v>
      </c>
      <c r="D13" s="84">
        <f>D12/(1+$M$3)^YEARFRAC($B$8, D$8)</f>
        <v>-48533.974467335174</v>
      </c>
      <c r="E13" s="84">
        <f>E12/(1+$M$3)^YEARFRAC($B$8, E$8)</f>
        <v>80889.957445558612</v>
      </c>
      <c r="F13" s="84">
        <f>F12/(1+$M$3)^YEARFRAC($B$8, F$8)</f>
        <v>81608.181286283958</v>
      </c>
      <c r="G13" s="84">
        <f>G12/(1+$M$3)^YEARFRAC($B$8, G$8)</f>
        <v>82328.253474104087</v>
      </c>
      <c r="H13" s="84">
        <f>H12/(1+$M$3)^YEARFRAC($B$8, H$8)</f>
        <v>83054.67924005205</v>
      </c>
      <c r="I13" s="84">
        <f>I12/(1+$M$3)^YEARFRAC($B$8, I$8)</f>
        <v>83787.514645111325</v>
      </c>
      <c r="J13" s="84">
        <f>J12/(1+$M$3)^YEARFRAC($B$8, J$8)</f>
        <v>84536.115940010786</v>
      </c>
      <c r="K13" s="84">
        <f>K12/(1+$M$3)^YEARFRAC($B$8, K$8)</f>
        <v>85286.71410803801</v>
      </c>
      <c r="L13" s="84">
        <f>L12/(1+$M$3)^YEARFRAC($B$8, L$8)</f>
        <v>86039.243938403044</v>
      </c>
      <c r="M13" s="84">
        <f>M12/(1+$M$3)^YEARFRAC($B$8, M$8)</f>
        <v>86798.413737859548</v>
      </c>
      <c r="N13" s="86" t="s">
        <v>19</v>
      </c>
    </row>
    <row r="14" spans="1:15">
      <c r="A14" s="1" t="str">
        <f>B5</f>
        <v>Affordable Tuition</v>
      </c>
      <c r="B14" s="9">
        <v>0</v>
      </c>
      <c r="C14" s="9">
        <f>-$F$5</f>
        <v>-15000</v>
      </c>
      <c r="D14" s="9">
        <f>-$F$5</f>
        <v>-15000</v>
      </c>
      <c r="E14" s="9">
        <f>C5</f>
        <v>65000</v>
      </c>
      <c r="F14" s="9">
        <f>E14*(1+$G$4)</f>
        <v>66885</v>
      </c>
      <c r="G14" s="9">
        <f>F14*(1+$G$4)</f>
        <v>68824.664999999994</v>
      </c>
      <c r="H14" s="9">
        <f>G14*(1+$G$4)</f>
        <v>70820.580284999989</v>
      </c>
      <c r="I14" s="9">
        <f>H14*(1+$G$4)</f>
        <v>72874.377113264985</v>
      </c>
      <c r="J14" s="9">
        <f>I14*(1+$G$4)</f>
        <v>74987.734049549661</v>
      </c>
      <c r="K14" s="9">
        <f>J14*(1+$G$4)</f>
        <v>77162.3783369866</v>
      </c>
      <c r="L14" s="9">
        <f>K14*(1+$G$4)</f>
        <v>79400.087308759204</v>
      </c>
      <c r="M14" s="9">
        <f>L14*(1+$G$4)</f>
        <v>81702.68984071321</v>
      </c>
      <c r="N14" s="11"/>
    </row>
    <row r="15" spans="1:15">
      <c r="A15" s="82"/>
      <c r="B15" s="85" t="s">
        <v>21</v>
      </c>
      <c r="C15" s="84">
        <f>C14/(1+$M$3)^YEARFRAC($B$8, C$8)</f>
        <v>-14851.39618700456</v>
      </c>
      <c r="D15" s="84">
        <f>D14/(1+$M$3)^YEARFRAC($B$8, D$8)</f>
        <v>-14560.19234020055</v>
      </c>
      <c r="E15" s="84">
        <f>E14/(1+$M$3)^YEARFRAC($B$8, E$8)</f>
        <v>61857.026281897764</v>
      </c>
      <c r="F15" s="84">
        <f>F14/(1+$M$3)^YEARFRAC($B$8, F$8)</f>
        <v>62406.25627774655</v>
      </c>
      <c r="G15" s="84">
        <f>G14/(1+$M$3)^YEARFRAC($B$8, G$8)</f>
        <v>62956.899715491367</v>
      </c>
      <c r="H15" s="84">
        <f>H14/(1+$M$3)^YEARFRAC($B$8, H$8)</f>
        <v>63512.401771804522</v>
      </c>
      <c r="I15" s="84">
        <f>I14/(1+$M$3)^YEARFRAC($B$8, I$8)</f>
        <v>64072.805316849845</v>
      </c>
      <c r="J15" s="84">
        <f>J14/(1+$M$3)^YEARFRAC($B$8, J$8)</f>
        <v>64645.26513059649</v>
      </c>
      <c r="K15" s="84">
        <f>K14/(1+$M$3)^YEARFRAC($B$8, K$8)</f>
        <v>65219.251964970252</v>
      </c>
      <c r="L15" s="84">
        <f>L14/(1+$M$3)^YEARFRAC($B$8, L$8)</f>
        <v>65794.715952896455</v>
      </c>
      <c r="M15" s="84">
        <f>M14/(1+$M$3)^YEARFRAC($B$8, M$8)</f>
        <v>66375.257564245534</v>
      </c>
      <c r="N15" s="86" t="s">
        <v>21</v>
      </c>
    </row>
    <row r="16" spans="1:15">
      <c r="A16" s="1"/>
      <c r="B16" s="1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>
      <c r="A17" s="99" t="s">
        <v>92</v>
      </c>
      <c r="B17" s="89">
        <f>YEARFRAC($M$5,B8)</f>
        <v>0</v>
      </c>
      <c r="C17" s="89">
        <f>YEARFRAC($M$5,C8)</f>
        <v>0.50277777777777777</v>
      </c>
      <c r="D17" s="89">
        <f>YEARFRAC($M$5,D8)</f>
        <v>1.5027777777777778</v>
      </c>
      <c r="E17" s="89">
        <f>YEARFRAC($M$5,E8)</f>
        <v>2.5027777777777778</v>
      </c>
      <c r="F17" s="89">
        <f>YEARFRAC($M$5,F8)</f>
        <v>3.5</v>
      </c>
      <c r="G17" s="89">
        <f>YEARFRAC($M$5,G8)</f>
        <v>4.5</v>
      </c>
      <c r="H17" s="89">
        <f>YEARFRAC($M$5,H8)</f>
        <v>5.5</v>
      </c>
      <c r="I17" s="89">
        <f>YEARFRAC($M$5,I8)</f>
        <v>6.5</v>
      </c>
      <c r="J17" s="89">
        <f>YEARFRAC($M$5,J8)</f>
        <v>7.4944444444444445</v>
      </c>
      <c r="K17" s="89">
        <f>YEARFRAC($M$5,K8)</f>
        <v>8.4916666666666671</v>
      </c>
      <c r="L17" s="89">
        <f>YEARFRAC($M$5,L8)</f>
        <v>9.4916666666666671</v>
      </c>
      <c r="M17" s="89">
        <f>YEARFRAC($M$5,M8)</f>
        <v>10.491666666666667</v>
      </c>
    </row>
  </sheetData>
  <mergeCells count="6">
    <mergeCell ref="E1:F2"/>
    <mergeCell ref="L1:M2"/>
    <mergeCell ref="G4:G5"/>
    <mergeCell ref="G1:G3"/>
    <mergeCell ref="I1:J2"/>
    <mergeCell ref="B1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BF498-148D-1841-B1C2-15BFD9738B06}">
  <dimension ref="A1:Q133"/>
  <sheetViews>
    <sheetView zoomScaleNormal="100" workbookViewId="0"/>
  </sheetViews>
  <sheetFormatPr baseColWidth="10" defaultRowHeight="16"/>
  <cols>
    <col min="1" max="1" width="22.5" bestFit="1" customWidth="1"/>
    <col min="2" max="2" width="12.83203125" bestFit="1" customWidth="1"/>
    <col min="3" max="3" width="29.83203125" customWidth="1"/>
    <col min="4" max="4" width="25.5" style="14" bestFit="1" customWidth="1"/>
    <col min="5" max="5" width="20.1640625" bestFit="1" customWidth="1"/>
    <col min="6" max="6" width="11.6640625" bestFit="1" customWidth="1"/>
    <col min="7" max="7" width="11" bestFit="1" customWidth="1"/>
    <col min="8" max="8" width="10" bestFit="1" customWidth="1"/>
    <col min="9" max="9" width="13" bestFit="1" customWidth="1"/>
    <col min="10" max="10" width="10" bestFit="1" customWidth="1"/>
    <col min="11" max="11" width="13.1640625" bestFit="1" customWidth="1"/>
    <col min="12" max="12" width="10" bestFit="1" customWidth="1"/>
    <col min="13" max="13" width="12.83203125" bestFit="1" customWidth="1"/>
    <col min="14" max="14" width="10" bestFit="1" customWidth="1"/>
    <col min="15" max="15" width="10.6640625" bestFit="1" customWidth="1"/>
  </cols>
  <sheetData>
    <row r="1" spans="1:17" s="14" customFormat="1"/>
    <row r="2" spans="1:17" s="14" customFormat="1">
      <c r="A2" s="55"/>
      <c r="B2" s="55"/>
      <c r="C2" s="55"/>
      <c r="D2" s="55"/>
    </row>
    <row r="3" spans="1:17" s="14" customFormat="1">
      <c r="A3" s="55"/>
      <c r="B3" s="55"/>
      <c r="C3" s="55"/>
      <c r="D3" s="55"/>
    </row>
    <row r="4" spans="1:17" s="14" customFormat="1"/>
    <row r="5" spans="1:17" s="14" customFormat="1"/>
    <row r="6" spans="1:17" s="14" customFormat="1"/>
    <row r="7" spans="1:17" s="14" customFormat="1" ht="16" customHeight="1">
      <c r="A7" s="76" t="s">
        <v>77</v>
      </c>
      <c r="B7" s="77"/>
      <c r="D7" s="56" t="s">
        <v>72</v>
      </c>
      <c r="E7" s="58"/>
      <c r="G7" s="56" t="s">
        <v>68</v>
      </c>
      <c r="H7" s="57"/>
      <c r="I7" s="57"/>
      <c r="J7" s="57"/>
      <c r="K7" s="57"/>
      <c r="L7" s="57"/>
      <c r="M7" s="57"/>
      <c r="N7" s="58"/>
    </row>
    <row r="8" spans="1:17" s="14" customFormat="1">
      <c r="A8" s="78"/>
      <c r="B8" s="79"/>
      <c r="C8" s="48"/>
      <c r="D8" s="59"/>
      <c r="E8" s="61"/>
      <c r="G8" s="59"/>
      <c r="H8" s="60"/>
      <c r="I8" s="60"/>
      <c r="J8" s="60"/>
      <c r="K8" s="60"/>
      <c r="L8" s="60"/>
      <c r="M8" s="60"/>
      <c r="N8" s="61"/>
    </row>
    <row r="9" spans="1:17">
      <c r="A9" s="52" t="s">
        <v>0</v>
      </c>
      <c r="B9" s="80">
        <v>0.02</v>
      </c>
      <c r="C9" s="41"/>
      <c r="D9" s="52" t="str">
        <f>'NPV-Basic'!B3</f>
        <v>Get a Job Now!</v>
      </c>
      <c r="E9" s="28">
        <v>55000</v>
      </c>
      <c r="G9" s="52" t="s">
        <v>1</v>
      </c>
      <c r="H9" s="27">
        <v>25000</v>
      </c>
      <c r="I9" s="41" t="s">
        <v>2</v>
      </c>
      <c r="J9" s="27">
        <v>5000</v>
      </c>
      <c r="K9" s="41" t="s">
        <v>3</v>
      </c>
      <c r="L9" s="27">
        <v>20500</v>
      </c>
      <c r="M9" s="41" t="s">
        <v>4</v>
      </c>
      <c r="N9" s="28">
        <v>28015</v>
      </c>
    </row>
    <row r="10" spans="1:17">
      <c r="A10" s="31"/>
      <c r="B10" s="53"/>
      <c r="C10" s="41"/>
      <c r="D10" s="52" t="str">
        <f>'NPV-Basic'!B4</f>
        <v>Big Time Tution</v>
      </c>
      <c r="E10" s="28">
        <v>85000</v>
      </c>
      <c r="G10" s="32" t="s">
        <v>5</v>
      </c>
      <c r="H10" s="34">
        <v>25000</v>
      </c>
      <c r="I10" s="43" t="s">
        <v>6</v>
      </c>
      <c r="J10" s="34">
        <v>5000</v>
      </c>
      <c r="K10" s="43" t="s">
        <v>7</v>
      </c>
      <c r="L10" s="34">
        <v>20500</v>
      </c>
      <c r="M10" s="43" t="s">
        <v>8</v>
      </c>
      <c r="N10" s="35">
        <v>35985</v>
      </c>
    </row>
    <row r="11" spans="1:17">
      <c r="A11" s="32" t="s">
        <v>9</v>
      </c>
      <c r="B11" s="54">
        <v>44075</v>
      </c>
      <c r="C11" s="41"/>
      <c r="D11" s="32" t="str">
        <f>'NPV-Basic'!B5</f>
        <v>Affordable Tuition</v>
      </c>
      <c r="E11" s="35">
        <v>65000</v>
      </c>
      <c r="O11" s="2"/>
      <c r="Q11" s="2"/>
    </row>
    <row r="12" spans="1:17">
      <c r="C12" s="41"/>
      <c r="D12" s="1"/>
      <c r="E12" s="2"/>
      <c r="O12" s="2"/>
      <c r="Q12" s="2"/>
    </row>
    <row r="13" spans="1:17" s="14" customFormat="1">
      <c r="C13" s="41"/>
      <c r="D13" s="56" t="s">
        <v>75</v>
      </c>
      <c r="E13" s="58"/>
      <c r="G13" s="56" t="s">
        <v>69</v>
      </c>
      <c r="H13" s="57"/>
      <c r="I13" s="57"/>
      <c r="J13" s="57"/>
      <c r="K13" s="57"/>
      <c r="L13" s="57"/>
      <c r="M13" s="57"/>
      <c r="N13" s="58"/>
      <c r="O13" s="2"/>
      <c r="Q13" s="2"/>
    </row>
    <row r="14" spans="1:17" s="14" customFormat="1">
      <c r="C14" s="1"/>
      <c r="D14" s="59"/>
      <c r="E14" s="61"/>
      <c r="G14" s="59"/>
      <c r="H14" s="60"/>
      <c r="I14" s="60"/>
      <c r="J14" s="60"/>
      <c r="K14" s="60"/>
      <c r="L14" s="60"/>
      <c r="M14" s="60"/>
      <c r="N14" s="61"/>
      <c r="O14" s="2"/>
      <c r="Q14" s="2"/>
    </row>
    <row r="15" spans="1:17">
      <c r="A15" s="114" t="s">
        <v>113</v>
      </c>
      <c r="B15" s="115" t="s">
        <v>112</v>
      </c>
      <c r="C15" s="116" t="s">
        <v>114</v>
      </c>
      <c r="D15" s="41" t="s">
        <v>82</v>
      </c>
      <c r="E15" s="66">
        <v>2.9000000000000001E-2</v>
      </c>
      <c r="G15" s="52" t="s">
        <v>10</v>
      </c>
      <c r="H15" s="30">
        <v>10000</v>
      </c>
      <c r="I15" s="41" t="s">
        <v>2</v>
      </c>
      <c r="J15" s="30">
        <v>5000</v>
      </c>
      <c r="K15" s="41" t="s">
        <v>3</v>
      </c>
      <c r="L15" s="30">
        <v>20500</v>
      </c>
      <c r="M15" s="41" t="s">
        <v>4</v>
      </c>
      <c r="N15" s="42">
        <v>10707</v>
      </c>
      <c r="O15" s="2"/>
      <c r="Q15" s="2"/>
    </row>
    <row r="16" spans="1:17">
      <c r="A16" s="109" t="s">
        <v>109</v>
      </c>
      <c r="B16" s="27">
        <f>B26*C16</f>
        <v>37570.667752241883</v>
      </c>
      <c r="C16" s="110">
        <v>0.25</v>
      </c>
      <c r="D16" s="43" t="s">
        <v>11</v>
      </c>
      <c r="E16" s="67">
        <v>1.9E-2</v>
      </c>
      <c r="G16" s="32" t="s">
        <v>12</v>
      </c>
      <c r="H16" s="62">
        <v>10000</v>
      </c>
      <c r="I16" s="43" t="s">
        <v>6</v>
      </c>
      <c r="J16" s="62">
        <v>5000</v>
      </c>
      <c r="K16" s="43" t="s">
        <v>7</v>
      </c>
      <c r="L16" s="62">
        <v>20500</v>
      </c>
      <c r="M16" s="43" t="s">
        <v>8</v>
      </c>
      <c r="N16" s="44">
        <v>16014</v>
      </c>
    </row>
    <row r="17" spans="1:15" s="14" customFormat="1">
      <c r="A17" s="109" t="s">
        <v>110</v>
      </c>
      <c r="B17" s="27">
        <f>B27*C17</f>
        <v>105942.45439437963</v>
      </c>
      <c r="C17" s="110">
        <v>0.75</v>
      </c>
      <c r="D17" s="1"/>
      <c r="E17" s="7"/>
      <c r="G17" s="1"/>
      <c r="H17" s="2"/>
      <c r="I17" s="1"/>
      <c r="J17" s="2"/>
      <c r="K17" s="1"/>
      <c r="L17" s="2"/>
      <c r="M17" s="1"/>
      <c r="N17" s="2"/>
    </row>
    <row r="18" spans="1:15" s="14" customFormat="1">
      <c r="A18" s="111" t="s">
        <v>111</v>
      </c>
      <c r="B18" s="34">
        <f>B28*C18</f>
        <v>95862.475944914142</v>
      </c>
      <c r="C18" s="112">
        <v>0.9</v>
      </c>
      <c r="D18" s="108" t="s">
        <v>73</v>
      </c>
      <c r="E18" s="63"/>
      <c r="G18" s="1"/>
      <c r="H18" s="2"/>
      <c r="I18" s="1"/>
      <c r="J18" s="2"/>
      <c r="K18" s="1"/>
      <c r="L18" s="2"/>
      <c r="M18" s="1"/>
      <c r="N18" s="2"/>
    </row>
    <row r="19" spans="1:15">
      <c r="C19" s="1"/>
      <c r="D19" s="64"/>
      <c r="E19" s="65"/>
      <c r="K19" s="1"/>
      <c r="L19" s="8"/>
      <c r="M19" s="1"/>
      <c r="N19" s="8"/>
    </row>
    <row r="20" spans="1:15" ht="16" customHeight="1">
      <c r="C20" s="1"/>
      <c r="D20" s="52" t="s">
        <v>65</v>
      </c>
      <c r="E20" s="28">
        <v>1500</v>
      </c>
      <c r="I20" s="68" t="s">
        <v>67</v>
      </c>
      <c r="J20" s="69"/>
      <c r="K20" s="70">
        <f>H109</f>
        <v>0.12579512195121953</v>
      </c>
      <c r="L20" s="69" t="s">
        <v>13</v>
      </c>
      <c r="M20" s="69"/>
      <c r="N20" s="71">
        <f>H129</f>
        <v>0.13335673469387754</v>
      </c>
    </row>
    <row r="21" spans="1:15">
      <c r="C21" s="1"/>
      <c r="D21" s="52" t="s">
        <v>66</v>
      </c>
      <c r="E21" s="28">
        <v>1100</v>
      </c>
      <c r="I21" s="72"/>
      <c r="J21" s="73"/>
      <c r="K21" s="74"/>
      <c r="L21" s="73"/>
      <c r="M21" s="73"/>
      <c r="N21" s="75"/>
    </row>
    <row r="22" spans="1:15">
      <c r="C22" s="1"/>
      <c r="D22" s="32" t="s">
        <v>14</v>
      </c>
      <c r="E22" s="35">
        <v>10000</v>
      </c>
    </row>
    <row r="23" spans="1:15">
      <c r="C23" s="1"/>
      <c r="D23" s="1"/>
      <c r="E23" s="5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>
      <c r="A24" s="100" t="s">
        <v>107</v>
      </c>
      <c r="B24" s="101"/>
      <c r="C24" s="1" t="s">
        <v>15</v>
      </c>
      <c r="D24" s="50">
        <f>B11</f>
        <v>44075</v>
      </c>
      <c r="E24" s="4">
        <f>$B$11+DATE(0,6,28)</f>
        <v>44255</v>
      </c>
      <c r="F24" s="6">
        <f>E24+DATE(0,12,30)</f>
        <v>44620</v>
      </c>
      <c r="G24" s="6">
        <f t="shared" ref="G24:O24" si="0">F24+DATE(0,12,30)</f>
        <v>44985</v>
      </c>
      <c r="H24" s="6">
        <f t="shared" si="0"/>
        <v>45350</v>
      </c>
      <c r="I24" s="6">
        <f t="shared" si="0"/>
        <v>45715</v>
      </c>
      <c r="J24" s="6">
        <f t="shared" si="0"/>
        <v>46080</v>
      </c>
      <c r="K24" s="6">
        <f t="shared" si="0"/>
        <v>46445</v>
      </c>
      <c r="L24" s="6">
        <f t="shared" si="0"/>
        <v>46810</v>
      </c>
      <c r="M24" s="6">
        <f t="shared" si="0"/>
        <v>47175</v>
      </c>
      <c r="N24" s="6">
        <f t="shared" si="0"/>
        <v>47540</v>
      </c>
      <c r="O24" s="6">
        <f t="shared" si="0"/>
        <v>47905</v>
      </c>
    </row>
    <row r="25" spans="1:15">
      <c r="A25" s="102"/>
      <c r="B25" s="103"/>
      <c r="C25" s="1" t="s">
        <v>16</v>
      </c>
      <c r="D25" s="51">
        <v>0</v>
      </c>
      <c r="E25" s="3">
        <v>0.5</v>
      </c>
      <c r="F25" s="3">
        <v>1.5</v>
      </c>
      <c r="G25" s="3">
        <v>2.5</v>
      </c>
      <c r="H25" s="3">
        <v>3.5</v>
      </c>
      <c r="I25" s="3">
        <v>4.5</v>
      </c>
      <c r="J25" s="3">
        <v>5.5</v>
      </c>
      <c r="K25" s="3">
        <v>6.5</v>
      </c>
      <c r="L25" s="3">
        <v>7.5</v>
      </c>
      <c r="M25" s="3">
        <v>8.5</v>
      </c>
      <c r="N25" s="3">
        <v>9.5</v>
      </c>
      <c r="O25" s="3">
        <v>10.5</v>
      </c>
    </row>
    <row r="26" spans="1:15">
      <c r="A26" s="52" t="str">
        <f>"NPV "&amp;D9</f>
        <v>NPV Get a Job Now!</v>
      </c>
      <c r="B26" s="28">
        <f>XNPV($B$9,D26:O26,$D$24:$O$24)</f>
        <v>150282.67100896753</v>
      </c>
      <c r="C26" s="1" t="str">
        <f>"Net Income: "&amp;C31</f>
        <v>Net Income: Straight to Job Market</v>
      </c>
      <c r="D26" s="9">
        <f>D54</f>
        <v>0</v>
      </c>
      <c r="E26" s="9">
        <f>E37</f>
        <v>11700</v>
      </c>
      <c r="F26" s="9">
        <f t="shared" ref="F26:O26" si="1">F37</f>
        <v>12351.299999999996</v>
      </c>
      <c r="G26" s="9">
        <f t="shared" si="1"/>
        <v>13027.415699999992</v>
      </c>
      <c r="H26" s="9">
        <f t="shared" si="1"/>
        <v>13729.179387299993</v>
      </c>
      <c r="I26" s="9">
        <f t="shared" si="1"/>
        <v>14457.449625539693</v>
      </c>
      <c r="J26" s="9">
        <f t="shared" si="1"/>
        <v>15213.1120573725</v>
      </c>
      <c r="K26" s="9">
        <f t="shared" si="1"/>
        <v>15997.080231189597</v>
      </c>
      <c r="L26" s="9">
        <f t="shared" si="1"/>
        <v>16810.296452606308</v>
      </c>
      <c r="M26" s="9">
        <f t="shared" si="1"/>
        <v>17653.732661443639</v>
      </c>
      <c r="N26" s="9">
        <f t="shared" si="1"/>
        <v>18528.391334959771</v>
      </c>
      <c r="O26" s="9">
        <f t="shared" si="1"/>
        <v>19435.306418108219</v>
      </c>
    </row>
    <row r="27" spans="1:15">
      <c r="A27" s="52" t="str">
        <f t="shared" ref="A27:A28" si="2">"NPV "&amp;D10</f>
        <v>NPV Big Time Tution</v>
      </c>
      <c r="B27" s="28">
        <f>XNPV($B$9,D27:O27,$D$24:$O$24)</f>
        <v>141256.60585917285</v>
      </c>
      <c r="C27" s="1" t="str">
        <f>"Net Income: "&amp;C39</f>
        <v>Net Income: Expensive Tuition (B)</v>
      </c>
      <c r="D27" s="9">
        <f>D55</f>
        <v>0</v>
      </c>
      <c r="E27" s="9">
        <f>E55</f>
        <v>0.21107755101729708</v>
      </c>
      <c r="F27" s="9">
        <f t="shared" ref="F27:O27" si="3">F55</f>
        <v>-0.23102040817320812</v>
      </c>
      <c r="G27" s="9">
        <f t="shared" si="3"/>
        <v>20210.70577959183</v>
      </c>
      <c r="H27" s="9">
        <f t="shared" si="3"/>
        <v>12771.365378791834</v>
      </c>
      <c r="I27" s="9">
        <f t="shared" si="3"/>
        <v>13868.939510376626</v>
      </c>
      <c r="J27" s="9">
        <f t="shared" si="3"/>
        <v>15004.615648461539</v>
      </c>
      <c r="K27" s="9">
        <f t="shared" si="3"/>
        <v>16179.617926012059</v>
      </c>
      <c r="L27" s="9">
        <f t="shared" si="3"/>
        <v>17395.208240170454</v>
      </c>
      <c r="M27" s="9">
        <f t="shared" si="3"/>
        <v>18652.687390438987</v>
      </c>
      <c r="N27" s="9">
        <f t="shared" si="3"/>
        <v>19953.396250687823</v>
      </c>
      <c r="O27" s="9">
        <f t="shared" si="3"/>
        <v>27613.505898433206</v>
      </c>
    </row>
    <row r="28" spans="1:15">
      <c r="A28" s="32" t="str">
        <f t="shared" si="2"/>
        <v>NPV Affordable Tuition</v>
      </c>
      <c r="B28" s="35">
        <f>XNPV($B$9,D28:O28,$D$24:$O$24)</f>
        <v>106513.86216101571</v>
      </c>
      <c r="C28" s="1" t="str">
        <f>"Net Income: "&amp;C57</f>
        <v>Net Income: Affordable Tuition (C)</v>
      </c>
      <c r="D28" s="9">
        <f>D56</f>
        <v>0</v>
      </c>
      <c r="E28" s="9">
        <f>E73</f>
        <v>0.34944163265390671</v>
      </c>
      <c r="F28" s="9">
        <f t="shared" ref="F28:O28" si="4">F73</f>
        <v>0.17469224489650514</v>
      </c>
      <c r="G28" s="9">
        <f t="shared" si="4"/>
        <v>9582.1114922448905</v>
      </c>
      <c r="H28" s="9">
        <f t="shared" si="4"/>
        <v>10436.871091444893</v>
      </c>
      <c r="I28" s="9">
        <f t="shared" si="4"/>
        <v>11322.574123029692</v>
      </c>
      <c r="J28" s="9">
        <f t="shared" si="4"/>
        <v>12240.234899214607</v>
      </c>
      <c r="K28" s="9">
        <f t="shared" si="4"/>
        <v>13190.899369370027</v>
      </c>
      <c r="L28" s="9">
        <f t="shared" si="4"/>
        <v>14175.646079718867</v>
      </c>
      <c r="M28" s="9">
        <f t="shared" si="4"/>
        <v>15195.587161667365</v>
      </c>
      <c r="N28" s="9">
        <f t="shared" si="4"/>
        <v>16251.869349614888</v>
      </c>
      <c r="O28" s="9">
        <f t="shared" si="4"/>
        <v>19924.475029113233</v>
      </c>
    </row>
    <row r="29" spans="1:15">
      <c r="C29" s="1"/>
      <c r="D29" s="1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1:15">
      <c r="C30" s="1"/>
      <c r="D30" s="1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>
      <c r="C31" s="22" t="s">
        <v>23</v>
      </c>
      <c r="D31" s="45"/>
      <c r="E31" s="23"/>
      <c r="F31" s="24"/>
      <c r="G31" s="24"/>
      <c r="H31" s="24"/>
      <c r="I31" s="24"/>
      <c r="J31" s="24"/>
      <c r="K31" s="24"/>
      <c r="L31" s="24"/>
      <c r="M31" s="24"/>
      <c r="N31" s="24"/>
      <c r="O31" s="25"/>
    </row>
    <row r="32" spans="1:15">
      <c r="C32" s="26" t="s">
        <v>24</v>
      </c>
      <c r="D32" s="46"/>
      <c r="E32" s="27">
        <f>-(E20*12)</f>
        <v>-18000</v>
      </c>
      <c r="F32" s="27">
        <f>E32*(1+$E$16)</f>
        <v>-18342</v>
      </c>
      <c r="G32" s="27">
        <f t="shared" ref="G32:O33" si="5">F32*(1+$E$16)</f>
        <v>-18690.498</v>
      </c>
      <c r="H32" s="27">
        <f t="shared" si="5"/>
        <v>-19045.617461999998</v>
      </c>
      <c r="I32" s="27">
        <f t="shared" si="5"/>
        <v>-19407.484193777997</v>
      </c>
      <c r="J32" s="27">
        <f t="shared" si="5"/>
        <v>-19776.226393459776</v>
      </c>
      <c r="K32" s="27">
        <f t="shared" si="5"/>
        <v>-20151.97469493551</v>
      </c>
      <c r="L32" s="27">
        <f t="shared" si="5"/>
        <v>-20534.862214139284</v>
      </c>
      <c r="M32" s="27">
        <f t="shared" si="5"/>
        <v>-20925.024596207928</v>
      </c>
      <c r="N32" s="27">
        <f t="shared" si="5"/>
        <v>-21322.600063535876</v>
      </c>
      <c r="O32" s="28">
        <f t="shared" si="5"/>
        <v>-21727.729464743057</v>
      </c>
    </row>
    <row r="33" spans="3:15">
      <c r="C33" s="29" t="s">
        <v>25</v>
      </c>
      <c r="D33" s="47"/>
      <c r="E33" s="27">
        <f>-(E21*12)</f>
        <v>-13200</v>
      </c>
      <c r="F33" s="27">
        <f>E33*(1+$E$16)</f>
        <v>-13450.8</v>
      </c>
      <c r="G33" s="27">
        <f t="shared" si="5"/>
        <v>-13706.365199999998</v>
      </c>
      <c r="H33" s="27">
        <f t="shared" si="5"/>
        <v>-13966.786138799996</v>
      </c>
      <c r="I33" s="27">
        <f t="shared" si="5"/>
        <v>-14232.155075437195</v>
      </c>
      <c r="J33" s="27">
        <f t="shared" si="5"/>
        <v>-14502.5660218705</v>
      </c>
      <c r="K33" s="27">
        <f t="shared" si="5"/>
        <v>-14778.114776286038</v>
      </c>
      <c r="L33" s="27">
        <f t="shared" si="5"/>
        <v>-15058.898957035472</v>
      </c>
      <c r="M33" s="27">
        <f t="shared" si="5"/>
        <v>-15345.018037219144</v>
      </c>
      <c r="N33" s="27">
        <f t="shared" si="5"/>
        <v>-15636.573379926307</v>
      </c>
      <c r="O33" s="28">
        <f t="shared" si="5"/>
        <v>-15933.668274144906</v>
      </c>
    </row>
    <row r="34" spans="3:15">
      <c r="C34" s="29" t="s">
        <v>26</v>
      </c>
      <c r="D34" s="47"/>
      <c r="E34" s="30">
        <f>E9</f>
        <v>55000</v>
      </c>
      <c r="F34" s="27">
        <f>E34*(1+$E$15)</f>
        <v>56594.999999999993</v>
      </c>
      <c r="G34" s="27">
        <f t="shared" ref="G34:O34" si="6">F34*(1+$E$15)</f>
        <v>58236.25499999999</v>
      </c>
      <c r="H34" s="27">
        <f t="shared" si="6"/>
        <v>59925.106394999988</v>
      </c>
      <c r="I34" s="27">
        <f t="shared" si="6"/>
        <v>61662.934480454984</v>
      </c>
      <c r="J34" s="27">
        <f t="shared" si="6"/>
        <v>63451.159580388172</v>
      </c>
      <c r="K34" s="27">
        <f t="shared" si="6"/>
        <v>65291.243208219421</v>
      </c>
      <c r="L34" s="27">
        <f t="shared" si="6"/>
        <v>67184.689261257779</v>
      </c>
      <c r="M34" s="27">
        <f t="shared" si="6"/>
        <v>69133.045249834249</v>
      </c>
      <c r="N34" s="27">
        <f t="shared" si="6"/>
        <v>71137.903562079431</v>
      </c>
      <c r="O34" s="28">
        <f t="shared" si="6"/>
        <v>73200.902765379724</v>
      </c>
    </row>
    <row r="35" spans="3:15">
      <c r="C35" s="29" t="s">
        <v>27</v>
      </c>
      <c r="D35" s="47"/>
      <c r="E35" s="27">
        <f t="shared" ref="E35:O35" si="7">-(IF(E34&lt;=10000,E34*10%,IF(E34&lt;=85525,E34*22%,IF(E34&lt;=518400,E34*32%,"poop"))))</f>
        <v>-12100</v>
      </c>
      <c r="F35" s="27">
        <f t="shared" si="7"/>
        <v>-12450.899999999998</v>
      </c>
      <c r="G35" s="27">
        <f t="shared" si="7"/>
        <v>-12811.976099999998</v>
      </c>
      <c r="H35" s="27">
        <f t="shared" si="7"/>
        <v>-13183.523406899998</v>
      </c>
      <c r="I35" s="27">
        <f t="shared" si="7"/>
        <v>-13565.845585700097</v>
      </c>
      <c r="J35" s="27">
        <f t="shared" si="7"/>
        <v>-13959.255107685398</v>
      </c>
      <c r="K35" s="27">
        <f t="shared" si="7"/>
        <v>-14364.073505808272</v>
      </c>
      <c r="L35" s="27">
        <f t="shared" si="7"/>
        <v>-14780.631637476712</v>
      </c>
      <c r="M35" s="27">
        <f t="shared" si="7"/>
        <v>-15209.269954963534</v>
      </c>
      <c r="N35" s="27">
        <f t="shared" si="7"/>
        <v>-15650.338783657475</v>
      </c>
      <c r="O35" s="28">
        <f t="shared" si="7"/>
        <v>-16104.19860838354</v>
      </c>
    </row>
    <row r="36" spans="3:15">
      <c r="C36" s="31"/>
      <c r="D36" s="48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8"/>
    </row>
    <row r="37" spans="3:15">
      <c r="C37" s="32" t="s">
        <v>18</v>
      </c>
      <c r="D37" s="43"/>
      <c r="E37" s="33">
        <f t="shared" ref="E37:O37" si="8">SUM(E32:E35)</f>
        <v>11700</v>
      </c>
      <c r="F37" s="33">
        <f t="shared" si="8"/>
        <v>12351.299999999996</v>
      </c>
      <c r="G37" s="34">
        <f t="shared" si="8"/>
        <v>13027.415699999992</v>
      </c>
      <c r="H37" s="34">
        <f t="shared" si="8"/>
        <v>13729.179387299993</v>
      </c>
      <c r="I37" s="34">
        <f t="shared" si="8"/>
        <v>14457.449625539693</v>
      </c>
      <c r="J37" s="34">
        <f t="shared" si="8"/>
        <v>15213.1120573725</v>
      </c>
      <c r="K37" s="34">
        <f t="shared" si="8"/>
        <v>15997.080231189597</v>
      </c>
      <c r="L37" s="34">
        <f t="shared" si="8"/>
        <v>16810.296452606308</v>
      </c>
      <c r="M37" s="34">
        <f t="shared" si="8"/>
        <v>17653.732661443639</v>
      </c>
      <c r="N37" s="34">
        <f t="shared" si="8"/>
        <v>18528.391334959771</v>
      </c>
      <c r="O37" s="35">
        <f t="shared" si="8"/>
        <v>19435.306418108219</v>
      </c>
    </row>
    <row r="38" spans="3:15">
      <c r="C38" s="1"/>
      <c r="D38" s="1"/>
      <c r="E38" s="9"/>
      <c r="F38" s="8"/>
      <c r="G38" s="8"/>
      <c r="H38" s="8"/>
      <c r="I38" s="8"/>
      <c r="J38" s="8"/>
      <c r="K38" s="8"/>
      <c r="L38" s="8"/>
      <c r="M38" s="8"/>
      <c r="N38" s="8"/>
      <c r="O38" s="8"/>
    </row>
    <row r="39" spans="3:15">
      <c r="C39" s="22" t="s">
        <v>63</v>
      </c>
      <c r="D39" s="45"/>
      <c r="E39" s="23"/>
      <c r="F39" s="24"/>
      <c r="G39" s="24"/>
      <c r="H39" s="24"/>
      <c r="I39" s="24"/>
      <c r="J39" s="24"/>
      <c r="K39" s="24"/>
      <c r="L39" s="24"/>
      <c r="M39" s="24"/>
      <c r="N39" s="24"/>
      <c r="O39" s="25"/>
    </row>
    <row r="40" spans="3:15">
      <c r="C40" s="36" t="s">
        <v>28</v>
      </c>
      <c r="D40" s="49"/>
      <c r="E40" s="37">
        <f>-H9</f>
        <v>-25000</v>
      </c>
      <c r="F40" s="37">
        <f>-H10</f>
        <v>-25000</v>
      </c>
      <c r="G40" s="37">
        <v>0</v>
      </c>
      <c r="H40" s="37">
        <v>0</v>
      </c>
      <c r="I40" s="37">
        <v>0</v>
      </c>
      <c r="J40" s="37">
        <v>0</v>
      </c>
      <c r="K40" s="37">
        <v>0</v>
      </c>
      <c r="L40" s="37">
        <v>0</v>
      </c>
      <c r="M40" s="37">
        <v>0</v>
      </c>
      <c r="N40" s="37">
        <v>0</v>
      </c>
      <c r="O40" s="38">
        <v>0</v>
      </c>
    </row>
    <row r="41" spans="3:15">
      <c r="C41" s="36" t="s">
        <v>29</v>
      </c>
      <c r="D41" s="49"/>
      <c r="E41" s="37">
        <f>J9</f>
        <v>5000</v>
      </c>
      <c r="F41" s="37">
        <f>J10</f>
        <v>5000</v>
      </c>
      <c r="G41" s="37">
        <v>0</v>
      </c>
      <c r="H41" s="37">
        <v>0</v>
      </c>
      <c r="I41" s="37">
        <v>0</v>
      </c>
      <c r="J41" s="37">
        <v>0</v>
      </c>
      <c r="K41" s="37">
        <v>0</v>
      </c>
      <c r="L41" s="37">
        <v>0</v>
      </c>
      <c r="M41" s="37">
        <v>0</v>
      </c>
      <c r="N41" s="37">
        <v>0</v>
      </c>
      <c r="O41" s="38">
        <v>0</v>
      </c>
    </row>
    <row r="42" spans="3:15">
      <c r="C42" s="26" t="s">
        <v>24</v>
      </c>
      <c r="D42" s="46"/>
      <c r="E42" s="27">
        <f>-E20*12</f>
        <v>-18000</v>
      </c>
      <c r="F42" s="27">
        <f>E42*(1+$E$16)</f>
        <v>-18342</v>
      </c>
      <c r="G42" s="27">
        <f t="shared" ref="G42:O43" si="9">F42*(1+$E$16)</f>
        <v>-18690.498</v>
      </c>
      <c r="H42" s="27">
        <f t="shared" si="9"/>
        <v>-19045.617461999998</v>
      </c>
      <c r="I42" s="27">
        <f t="shared" si="9"/>
        <v>-19407.484193777997</v>
      </c>
      <c r="J42" s="27">
        <f t="shared" si="9"/>
        <v>-19776.226393459776</v>
      </c>
      <c r="K42" s="27">
        <f t="shared" si="9"/>
        <v>-20151.97469493551</v>
      </c>
      <c r="L42" s="27">
        <f t="shared" si="9"/>
        <v>-20534.862214139284</v>
      </c>
      <c r="M42" s="27">
        <f t="shared" si="9"/>
        <v>-20925.024596207928</v>
      </c>
      <c r="N42" s="27">
        <f t="shared" si="9"/>
        <v>-21322.600063535876</v>
      </c>
      <c r="O42" s="28">
        <f t="shared" si="9"/>
        <v>-21727.729464743057</v>
      </c>
    </row>
    <row r="43" spans="3:15">
      <c r="C43" s="29" t="s">
        <v>25</v>
      </c>
      <c r="D43" s="47"/>
      <c r="E43" s="27">
        <f>-E21*12</f>
        <v>-13200</v>
      </c>
      <c r="F43" s="27">
        <f>E43*(1+$E$16)</f>
        <v>-13450.8</v>
      </c>
      <c r="G43" s="27">
        <f t="shared" si="9"/>
        <v>-13706.365199999998</v>
      </c>
      <c r="H43" s="27">
        <f t="shared" si="9"/>
        <v>-13966.786138799996</v>
      </c>
      <c r="I43" s="27">
        <f t="shared" si="9"/>
        <v>-14232.155075437195</v>
      </c>
      <c r="J43" s="27">
        <f t="shared" si="9"/>
        <v>-14502.5660218705</v>
      </c>
      <c r="K43" s="27">
        <f t="shared" si="9"/>
        <v>-14778.114776286038</v>
      </c>
      <c r="L43" s="27">
        <f t="shared" si="9"/>
        <v>-15058.898957035472</v>
      </c>
      <c r="M43" s="27">
        <f t="shared" si="9"/>
        <v>-15345.018037219144</v>
      </c>
      <c r="N43" s="27">
        <f t="shared" si="9"/>
        <v>-15636.573379926307</v>
      </c>
      <c r="O43" s="28">
        <f t="shared" si="9"/>
        <v>-15933.668274144906</v>
      </c>
    </row>
    <row r="44" spans="3:15">
      <c r="C44" s="29" t="str">
        <f>K9</f>
        <v>Federal Loan 1</v>
      </c>
      <c r="D44" s="47"/>
      <c r="E44" s="27">
        <f>L9</f>
        <v>20500</v>
      </c>
      <c r="F44" s="27">
        <v>0</v>
      </c>
      <c r="G44" s="37">
        <v>0</v>
      </c>
      <c r="H44" s="37">
        <v>0</v>
      </c>
      <c r="I44" s="37">
        <v>0</v>
      </c>
      <c r="J44" s="37">
        <v>0</v>
      </c>
      <c r="K44" s="37">
        <v>0</v>
      </c>
      <c r="L44" s="37">
        <v>0</v>
      </c>
      <c r="M44" s="37">
        <v>0</v>
      </c>
      <c r="N44" s="37">
        <v>0</v>
      </c>
      <c r="O44" s="38">
        <v>0</v>
      </c>
    </row>
    <row r="45" spans="3:15">
      <c r="C45" s="29" t="str">
        <f>K10</f>
        <v>Federal Loan 2</v>
      </c>
      <c r="D45" s="47"/>
      <c r="E45" s="27">
        <v>0</v>
      </c>
      <c r="F45" s="27">
        <f>L10</f>
        <v>20500</v>
      </c>
      <c r="G45" s="37"/>
      <c r="H45" s="37"/>
      <c r="I45" s="37"/>
      <c r="J45" s="37"/>
      <c r="K45" s="37"/>
      <c r="L45" s="37"/>
      <c r="M45" s="37"/>
      <c r="N45" s="37"/>
      <c r="O45" s="38"/>
    </row>
    <row r="46" spans="3:15">
      <c r="C46" s="29" t="str">
        <f>C44&amp;" Payment"</f>
        <v>Federal Loan 1 Payment</v>
      </c>
      <c r="D46" s="47"/>
      <c r="E46" s="27">
        <f>-($L$9*$K$20)</f>
        <v>-2578.8000000000002</v>
      </c>
      <c r="F46" s="27">
        <f t="shared" ref="F46:N46" si="10">-($L$9*$K$20)</f>
        <v>-2578.8000000000002</v>
      </c>
      <c r="G46" s="27">
        <f t="shared" si="10"/>
        <v>-2578.8000000000002</v>
      </c>
      <c r="H46" s="27">
        <f t="shared" si="10"/>
        <v>-2578.8000000000002</v>
      </c>
      <c r="I46" s="27">
        <f t="shared" si="10"/>
        <v>-2578.8000000000002</v>
      </c>
      <c r="J46" s="27">
        <f t="shared" si="10"/>
        <v>-2578.8000000000002</v>
      </c>
      <c r="K46" s="27">
        <f t="shared" si="10"/>
        <v>-2578.8000000000002</v>
      </c>
      <c r="L46" s="27">
        <f t="shared" si="10"/>
        <v>-2578.8000000000002</v>
      </c>
      <c r="M46" s="27">
        <f t="shared" si="10"/>
        <v>-2578.8000000000002</v>
      </c>
      <c r="N46" s="27">
        <f t="shared" si="10"/>
        <v>-2578.8000000000002</v>
      </c>
      <c r="O46" s="28">
        <v>0</v>
      </c>
    </row>
    <row r="47" spans="3:15">
      <c r="C47" s="29" t="str">
        <f>C45&amp;" Payment"</f>
        <v>Federal Loan 2 Payment</v>
      </c>
      <c r="D47" s="47"/>
      <c r="E47" s="27">
        <v>0</v>
      </c>
      <c r="F47" s="27">
        <f>IF(F40&lt;&gt;0,-($L$10*$K$20),0)</f>
        <v>-2578.8000000000002</v>
      </c>
      <c r="G47" s="27">
        <f>$F$47</f>
        <v>-2578.8000000000002</v>
      </c>
      <c r="H47" s="27">
        <f t="shared" ref="H47:O47" si="11">$F$47</f>
        <v>-2578.8000000000002</v>
      </c>
      <c r="I47" s="27">
        <f t="shared" si="11"/>
        <v>-2578.8000000000002</v>
      </c>
      <c r="J47" s="27">
        <f t="shared" si="11"/>
        <v>-2578.8000000000002</v>
      </c>
      <c r="K47" s="27">
        <f t="shared" si="11"/>
        <v>-2578.8000000000002</v>
      </c>
      <c r="L47" s="27">
        <f t="shared" si="11"/>
        <v>-2578.8000000000002</v>
      </c>
      <c r="M47" s="27">
        <f t="shared" si="11"/>
        <v>-2578.8000000000002</v>
      </c>
      <c r="N47" s="27">
        <f t="shared" si="11"/>
        <v>-2578.8000000000002</v>
      </c>
      <c r="O47" s="28">
        <f t="shared" si="11"/>
        <v>-2578.8000000000002</v>
      </c>
    </row>
    <row r="48" spans="3:15">
      <c r="C48" s="29" t="str">
        <f>M9</f>
        <v>Private Loan 1</v>
      </c>
      <c r="D48" s="47"/>
      <c r="E48" s="27">
        <f>N9</f>
        <v>28015</v>
      </c>
      <c r="F48" s="27">
        <v>0</v>
      </c>
      <c r="G48" s="37">
        <v>0</v>
      </c>
      <c r="H48" s="37">
        <v>0</v>
      </c>
      <c r="I48" s="37">
        <v>0</v>
      </c>
      <c r="J48" s="37">
        <v>0</v>
      </c>
      <c r="K48" s="37">
        <v>0</v>
      </c>
      <c r="L48" s="37">
        <v>0</v>
      </c>
      <c r="M48" s="37">
        <v>0</v>
      </c>
      <c r="N48" s="37">
        <v>0</v>
      </c>
      <c r="O48" s="38">
        <v>0</v>
      </c>
    </row>
    <row r="49" spans="3:15">
      <c r="C49" s="29" t="str">
        <f>M10</f>
        <v>Private Loan 2</v>
      </c>
      <c r="D49" s="47"/>
      <c r="E49" s="27">
        <v>0</v>
      </c>
      <c r="F49" s="27">
        <f>IF(F40&lt;&gt;0,N10,0)</f>
        <v>35985</v>
      </c>
      <c r="G49" s="37">
        <v>0</v>
      </c>
      <c r="H49" s="37">
        <v>0</v>
      </c>
      <c r="I49" s="37">
        <v>0</v>
      </c>
      <c r="J49" s="37">
        <v>0</v>
      </c>
      <c r="K49" s="37">
        <v>0</v>
      </c>
      <c r="L49" s="37">
        <v>0</v>
      </c>
      <c r="M49" s="37">
        <v>0</v>
      </c>
      <c r="N49" s="37">
        <v>0</v>
      </c>
      <c r="O49" s="38">
        <v>0</v>
      </c>
    </row>
    <row r="50" spans="3:15">
      <c r="C50" s="29" t="str">
        <f>C48&amp;" Payment"</f>
        <v>Private Loan 1 Payment</v>
      </c>
      <c r="D50" s="47"/>
      <c r="E50" s="27">
        <f>-($N$9*$N$20)</f>
        <v>-3735.9889224489793</v>
      </c>
      <c r="F50" s="27">
        <f t="shared" ref="F50:N50" si="12">-($N$9*$N$20)</f>
        <v>-3735.9889224489793</v>
      </c>
      <c r="G50" s="27">
        <f t="shared" si="12"/>
        <v>-3735.9889224489793</v>
      </c>
      <c r="H50" s="27">
        <f t="shared" si="12"/>
        <v>-3735.9889224489793</v>
      </c>
      <c r="I50" s="27">
        <f t="shared" si="12"/>
        <v>-3735.9889224489793</v>
      </c>
      <c r="J50" s="27">
        <f t="shared" si="12"/>
        <v>-3735.9889224489793</v>
      </c>
      <c r="K50" s="27">
        <f t="shared" si="12"/>
        <v>-3735.9889224489793</v>
      </c>
      <c r="L50" s="27">
        <f t="shared" si="12"/>
        <v>-3735.9889224489793</v>
      </c>
      <c r="M50" s="27">
        <f t="shared" si="12"/>
        <v>-3735.9889224489793</v>
      </c>
      <c r="N50" s="27">
        <f t="shared" si="12"/>
        <v>-3735.9889224489793</v>
      </c>
      <c r="O50" s="28"/>
    </row>
    <row r="51" spans="3:15">
      <c r="C51" s="29" t="str">
        <f>C49&amp;" Payment"</f>
        <v>Private Loan 2 Payment</v>
      </c>
      <c r="D51" s="47"/>
      <c r="E51" s="27"/>
      <c r="F51" s="27">
        <f>IF(F40&lt;&gt;0,-($N$10*$N$20),0)</f>
        <v>-4798.8420979591838</v>
      </c>
      <c r="G51" s="27">
        <f>$F$51</f>
        <v>-4798.8420979591838</v>
      </c>
      <c r="H51" s="27">
        <f t="shared" ref="H51:O51" si="13">$F$51</f>
        <v>-4798.8420979591838</v>
      </c>
      <c r="I51" s="27">
        <f t="shared" si="13"/>
        <v>-4798.8420979591838</v>
      </c>
      <c r="J51" s="27">
        <f t="shared" si="13"/>
        <v>-4798.8420979591838</v>
      </c>
      <c r="K51" s="27">
        <f t="shared" si="13"/>
        <v>-4798.8420979591838</v>
      </c>
      <c r="L51" s="27">
        <f t="shared" si="13"/>
        <v>-4798.8420979591838</v>
      </c>
      <c r="M51" s="27">
        <f t="shared" si="13"/>
        <v>-4798.8420979591838</v>
      </c>
      <c r="N51" s="27">
        <f t="shared" si="13"/>
        <v>-4798.8420979591838</v>
      </c>
      <c r="O51" s="28">
        <f t="shared" si="13"/>
        <v>-4798.8420979591838</v>
      </c>
    </row>
    <row r="52" spans="3:15">
      <c r="C52" s="29" t="s">
        <v>26</v>
      </c>
      <c r="D52" s="47"/>
      <c r="E52" s="27">
        <f>$E$22</f>
        <v>10000</v>
      </c>
      <c r="F52" s="27">
        <f>IF(F40=0,E10,$E$22)</f>
        <v>10000</v>
      </c>
      <c r="G52" s="27">
        <f>IF(F40&lt;&gt;0, E10, F52*(1+$E$15))</f>
        <v>85000</v>
      </c>
      <c r="H52" s="27">
        <f>G52*(1+$E$15)</f>
        <v>87465</v>
      </c>
      <c r="I52" s="27">
        <f t="shared" ref="I52:O52" si="14">H52*(1+$E$15)</f>
        <v>90001.484999999986</v>
      </c>
      <c r="J52" s="27">
        <f t="shared" si="14"/>
        <v>92611.528064999977</v>
      </c>
      <c r="K52" s="27">
        <f t="shared" si="14"/>
        <v>95297.262378884974</v>
      </c>
      <c r="L52" s="27">
        <f t="shared" si="14"/>
        <v>98060.882987872625</v>
      </c>
      <c r="M52" s="27">
        <f t="shared" si="14"/>
        <v>100904.64859452093</v>
      </c>
      <c r="N52" s="27">
        <f t="shared" si="14"/>
        <v>103830.88340376203</v>
      </c>
      <c r="O52" s="28">
        <f t="shared" si="14"/>
        <v>106841.97902247112</v>
      </c>
    </row>
    <row r="53" spans="3:15">
      <c r="C53" s="29" t="s">
        <v>27</v>
      </c>
      <c r="D53" s="47"/>
      <c r="E53" s="27">
        <f t="shared" ref="E53:F53" si="15">-(IF(E52&lt;=10000,E52*10%,IF(E52&lt;=85525,E52*22%,IF(E52&lt;=518400,E52*32%,"poop"))))</f>
        <v>-1000</v>
      </c>
      <c r="F53" s="27">
        <f t="shared" si="15"/>
        <v>-1000</v>
      </c>
      <c r="G53" s="27">
        <f>-(IF(G52&lt;=10000,G52*10%,IF(G52&lt;=85525,G52*22%,IF(G52&lt;=518400,G52*32%,"poop"))))</f>
        <v>-18700</v>
      </c>
      <c r="H53" s="27">
        <f t="shared" ref="H53:O53" si="16">-(IF(H52&lt;=10000,H52*10%,IF(H52&lt;=85525,H52*22%,IF(H52&lt;=518400,H52*32%,"poop"))))</f>
        <v>-27988.799999999999</v>
      </c>
      <c r="I53" s="27">
        <f t="shared" si="16"/>
        <v>-28800.475199999997</v>
      </c>
      <c r="J53" s="27">
        <f t="shared" si="16"/>
        <v>-29635.688980799994</v>
      </c>
      <c r="K53" s="27">
        <f t="shared" si="16"/>
        <v>-30495.123961243193</v>
      </c>
      <c r="L53" s="27">
        <f t="shared" si="16"/>
        <v>-31379.482556119241</v>
      </c>
      <c r="M53" s="27">
        <f t="shared" si="16"/>
        <v>-32289.487550246697</v>
      </c>
      <c r="N53" s="27">
        <f t="shared" si="16"/>
        <v>-33225.882689203849</v>
      </c>
      <c r="O53" s="28">
        <f t="shared" si="16"/>
        <v>-34189.433287190761</v>
      </c>
    </row>
    <row r="54" spans="3:15">
      <c r="C54" s="31"/>
      <c r="D54" s="48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8"/>
    </row>
    <row r="55" spans="3:15">
      <c r="C55" s="32" t="s">
        <v>20</v>
      </c>
      <c r="D55" s="43"/>
      <c r="E55" s="33">
        <f>SUM(E40:E53)</f>
        <v>0.21107755101729708</v>
      </c>
      <c r="F55" s="33">
        <f>SUM(F40:F53)</f>
        <v>-0.23102040817320812</v>
      </c>
      <c r="G55" s="34">
        <f t="shared" ref="G55:O55" si="17">SUM(G40:G53)</f>
        <v>20210.70577959183</v>
      </c>
      <c r="H55" s="34">
        <f t="shared" si="17"/>
        <v>12771.365378791834</v>
      </c>
      <c r="I55" s="34">
        <f t="shared" si="17"/>
        <v>13868.939510376626</v>
      </c>
      <c r="J55" s="34">
        <f t="shared" si="17"/>
        <v>15004.615648461539</v>
      </c>
      <c r="K55" s="34">
        <f t="shared" si="17"/>
        <v>16179.617926012059</v>
      </c>
      <c r="L55" s="34">
        <f t="shared" si="17"/>
        <v>17395.208240170454</v>
      </c>
      <c r="M55" s="34">
        <f t="shared" si="17"/>
        <v>18652.687390438987</v>
      </c>
      <c r="N55" s="34">
        <f t="shared" si="17"/>
        <v>19953.396250687823</v>
      </c>
      <c r="O55" s="35">
        <f t="shared" si="17"/>
        <v>27613.505898433206</v>
      </c>
    </row>
    <row r="56" spans="3:15">
      <c r="C56" s="1"/>
      <c r="D56" s="1"/>
      <c r="E56" s="12"/>
      <c r="F56" s="12"/>
      <c r="G56" s="9"/>
      <c r="H56" s="9"/>
      <c r="I56" s="9"/>
      <c r="J56" s="9"/>
      <c r="K56" s="9"/>
      <c r="L56" s="9"/>
      <c r="M56" s="9"/>
      <c r="N56" s="9"/>
      <c r="O56" s="9"/>
    </row>
    <row r="57" spans="3:15">
      <c r="C57" s="22" t="s">
        <v>64</v>
      </c>
      <c r="D57" s="45"/>
      <c r="E57" s="39"/>
      <c r="F57" s="39"/>
      <c r="G57" s="23"/>
      <c r="H57" s="23"/>
      <c r="I57" s="23"/>
      <c r="J57" s="23"/>
      <c r="K57" s="23"/>
      <c r="L57" s="23"/>
      <c r="M57" s="23"/>
      <c r="N57" s="23"/>
      <c r="O57" s="40"/>
    </row>
    <row r="58" spans="3:15">
      <c r="C58" s="36" t="s">
        <v>30</v>
      </c>
      <c r="D58" s="49"/>
      <c r="E58" s="37">
        <f>-H15</f>
        <v>-10000</v>
      </c>
      <c r="F58" s="37">
        <f>-H16</f>
        <v>-10000</v>
      </c>
      <c r="G58" s="37">
        <v>0</v>
      </c>
      <c r="H58" s="37">
        <v>0</v>
      </c>
      <c r="I58" s="37">
        <v>0</v>
      </c>
      <c r="J58" s="37">
        <v>0</v>
      </c>
      <c r="K58" s="37">
        <v>0</v>
      </c>
      <c r="L58" s="37">
        <v>0</v>
      </c>
      <c r="M58" s="37">
        <v>0</v>
      </c>
      <c r="N58" s="37">
        <v>0</v>
      </c>
      <c r="O58" s="38">
        <v>0</v>
      </c>
    </row>
    <row r="59" spans="3:15">
      <c r="C59" s="36" t="s">
        <v>29</v>
      </c>
      <c r="D59" s="49"/>
      <c r="E59" s="37">
        <f>J15</f>
        <v>5000</v>
      </c>
      <c r="F59" s="37">
        <f>J16</f>
        <v>5000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0</v>
      </c>
      <c r="M59" s="37">
        <v>0</v>
      </c>
      <c r="N59" s="37">
        <v>0</v>
      </c>
      <c r="O59" s="38">
        <v>0</v>
      </c>
    </row>
    <row r="60" spans="3:15">
      <c r="C60" s="26" t="s">
        <v>24</v>
      </c>
      <c r="D60" s="46"/>
      <c r="E60" s="27">
        <f>-E20*12</f>
        <v>-18000</v>
      </c>
      <c r="F60" s="27">
        <f>E60*(1+$E$16)</f>
        <v>-18342</v>
      </c>
      <c r="G60" s="27">
        <f t="shared" ref="G60:O61" si="18">F60*(1+$E$16)</f>
        <v>-18690.498</v>
      </c>
      <c r="H60" s="27">
        <f t="shared" si="18"/>
        <v>-19045.617461999998</v>
      </c>
      <c r="I60" s="27">
        <f t="shared" si="18"/>
        <v>-19407.484193777997</v>
      </c>
      <c r="J60" s="27">
        <f t="shared" si="18"/>
        <v>-19776.226393459776</v>
      </c>
      <c r="K60" s="27">
        <f t="shared" si="18"/>
        <v>-20151.97469493551</v>
      </c>
      <c r="L60" s="27">
        <f t="shared" si="18"/>
        <v>-20534.862214139284</v>
      </c>
      <c r="M60" s="27">
        <f t="shared" si="18"/>
        <v>-20925.024596207928</v>
      </c>
      <c r="N60" s="27">
        <f t="shared" si="18"/>
        <v>-21322.600063535876</v>
      </c>
      <c r="O60" s="28">
        <f t="shared" si="18"/>
        <v>-21727.729464743057</v>
      </c>
    </row>
    <row r="61" spans="3:15">
      <c r="C61" s="29" t="s">
        <v>25</v>
      </c>
      <c r="D61" s="47"/>
      <c r="E61" s="27">
        <f>-E21*12</f>
        <v>-13200</v>
      </c>
      <c r="F61" s="27">
        <f>E61*(1+$E$16)</f>
        <v>-13450.8</v>
      </c>
      <c r="G61" s="27">
        <f t="shared" si="18"/>
        <v>-13706.365199999998</v>
      </c>
      <c r="H61" s="27">
        <f t="shared" si="18"/>
        <v>-13966.786138799996</v>
      </c>
      <c r="I61" s="27">
        <f t="shared" si="18"/>
        <v>-14232.155075437195</v>
      </c>
      <c r="J61" s="27">
        <f t="shared" si="18"/>
        <v>-14502.5660218705</v>
      </c>
      <c r="K61" s="27">
        <f t="shared" si="18"/>
        <v>-14778.114776286038</v>
      </c>
      <c r="L61" s="27">
        <f t="shared" si="18"/>
        <v>-15058.898957035472</v>
      </c>
      <c r="M61" s="27">
        <f t="shared" si="18"/>
        <v>-15345.018037219144</v>
      </c>
      <c r="N61" s="27">
        <f t="shared" si="18"/>
        <v>-15636.573379926307</v>
      </c>
      <c r="O61" s="28">
        <f t="shared" si="18"/>
        <v>-15933.668274144906</v>
      </c>
    </row>
    <row r="62" spans="3:15">
      <c r="C62" s="29" t="str">
        <f>K15</f>
        <v>Federal Loan 1</v>
      </c>
      <c r="D62" s="47"/>
      <c r="E62" s="27">
        <f>L15</f>
        <v>20500</v>
      </c>
      <c r="F62" s="27">
        <v>0</v>
      </c>
      <c r="G62" s="37">
        <v>0</v>
      </c>
      <c r="H62" s="37">
        <v>0</v>
      </c>
      <c r="I62" s="37">
        <v>0</v>
      </c>
      <c r="J62" s="37">
        <v>0</v>
      </c>
      <c r="K62" s="37">
        <v>0</v>
      </c>
      <c r="L62" s="37">
        <v>0</v>
      </c>
      <c r="M62" s="37">
        <v>0</v>
      </c>
      <c r="N62" s="37">
        <v>0</v>
      </c>
      <c r="O62" s="38">
        <v>0</v>
      </c>
    </row>
    <row r="63" spans="3:15">
      <c r="C63" s="29" t="str">
        <f>K16</f>
        <v>Federal Loan 2</v>
      </c>
      <c r="D63" s="47"/>
      <c r="E63" s="27">
        <v>0</v>
      </c>
      <c r="F63" s="27">
        <f>L16</f>
        <v>20500</v>
      </c>
      <c r="G63" s="37"/>
      <c r="H63" s="37"/>
      <c r="I63" s="37"/>
      <c r="J63" s="37"/>
      <c r="K63" s="37"/>
      <c r="L63" s="37"/>
      <c r="M63" s="37"/>
      <c r="N63" s="37"/>
      <c r="O63" s="38"/>
    </row>
    <row r="64" spans="3:15">
      <c r="C64" s="29" t="str">
        <f>C62&amp;" Payment"</f>
        <v>Federal Loan 1 Payment</v>
      </c>
      <c r="D64" s="47"/>
      <c r="E64" s="27">
        <f>-($L$15*$K$20)</f>
        <v>-2578.8000000000002</v>
      </c>
      <c r="F64" s="27">
        <f t="shared" ref="F64:N64" si="19">-($L$15*$K$20)</f>
        <v>-2578.8000000000002</v>
      </c>
      <c r="G64" s="27">
        <f t="shared" si="19"/>
        <v>-2578.8000000000002</v>
      </c>
      <c r="H64" s="27">
        <f t="shared" si="19"/>
        <v>-2578.8000000000002</v>
      </c>
      <c r="I64" s="27">
        <f t="shared" si="19"/>
        <v>-2578.8000000000002</v>
      </c>
      <c r="J64" s="27">
        <f t="shared" si="19"/>
        <v>-2578.8000000000002</v>
      </c>
      <c r="K64" s="27">
        <f t="shared" si="19"/>
        <v>-2578.8000000000002</v>
      </c>
      <c r="L64" s="27">
        <f t="shared" si="19"/>
        <v>-2578.8000000000002</v>
      </c>
      <c r="M64" s="27">
        <f t="shared" si="19"/>
        <v>-2578.8000000000002</v>
      </c>
      <c r="N64" s="27">
        <f t="shared" si="19"/>
        <v>-2578.8000000000002</v>
      </c>
      <c r="O64" s="28">
        <v>0</v>
      </c>
    </row>
    <row r="65" spans="3:15">
      <c r="C65" s="29" t="str">
        <f>C63&amp;" Payment"</f>
        <v>Federal Loan 2 Payment</v>
      </c>
      <c r="D65" s="47"/>
      <c r="E65" s="27">
        <v>0</v>
      </c>
      <c r="F65" s="27">
        <f>IF(F58&lt;&gt;0,-($L$16*$K$20),0)</f>
        <v>-2578.8000000000002</v>
      </c>
      <c r="G65" s="27">
        <f>$F$65</f>
        <v>-2578.8000000000002</v>
      </c>
      <c r="H65" s="27">
        <f t="shared" ref="H65:O65" si="20">$F$65</f>
        <v>-2578.8000000000002</v>
      </c>
      <c r="I65" s="27">
        <f t="shared" si="20"/>
        <v>-2578.8000000000002</v>
      </c>
      <c r="J65" s="27">
        <f t="shared" si="20"/>
        <v>-2578.8000000000002</v>
      </c>
      <c r="K65" s="27">
        <f t="shared" si="20"/>
        <v>-2578.8000000000002</v>
      </c>
      <c r="L65" s="27">
        <f t="shared" si="20"/>
        <v>-2578.8000000000002</v>
      </c>
      <c r="M65" s="27">
        <f t="shared" si="20"/>
        <v>-2578.8000000000002</v>
      </c>
      <c r="N65" s="27">
        <f t="shared" si="20"/>
        <v>-2578.8000000000002</v>
      </c>
      <c r="O65" s="28">
        <f t="shared" si="20"/>
        <v>-2578.8000000000002</v>
      </c>
    </row>
    <row r="66" spans="3:15">
      <c r="C66" s="29" t="str">
        <f>M15</f>
        <v>Private Loan 1</v>
      </c>
      <c r="D66" s="47"/>
      <c r="E66" s="27">
        <f>N15</f>
        <v>10707</v>
      </c>
      <c r="F66" s="27">
        <v>0</v>
      </c>
      <c r="G66" s="37">
        <v>0</v>
      </c>
      <c r="H66" s="37">
        <v>0</v>
      </c>
      <c r="I66" s="37">
        <v>0</v>
      </c>
      <c r="J66" s="37">
        <v>0</v>
      </c>
      <c r="K66" s="37">
        <v>0</v>
      </c>
      <c r="L66" s="37">
        <v>0</v>
      </c>
      <c r="M66" s="37">
        <v>0</v>
      </c>
      <c r="N66" s="37">
        <v>0</v>
      </c>
      <c r="O66" s="38">
        <v>0</v>
      </c>
    </row>
    <row r="67" spans="3:15">
      <c r="C67" s="29" t="str">
        <f>M16</f>
        <v>Private Loan 2</v>
      </c>
      <c r="D67" s="47"/>
      <c r="E67" s="27">
        <v>0</v>
      </c>
      <c r="F67" s="27">
        <f>N16</f>
        <v>16014</v>
      </c>
      <c r="G67" s="37">
        <v>0</v>
      </c>
      <c r="H67" s="37">
        <v>0</v>
      </c>
      <c r="I67" s="37">
        <v>0</v>
      </c>
      <c r="J67" s="37">
        <v>0</v>
      </c>
      <c r="K67" s="37">
        <v>0</v>
      </c>
      <c r="L67" s="37">
        <v>0</v>
      </c>
      <c r="M67" s="37">
        <v>0</v>
      </c>
      <c r="N67" s="37">
        <v>0</v>
      </c>
      <c r="O67" s="38">
        <v>0</v>
      </c>
    </row>
    <row r="68" spans="3:15">
      <c r="C68" s="29" t="str">
        <f>C66&amp;" Payment"</f>
        <v>Private Loan 1 Payment</v>
      </c>
      <c r="D68" s="47"/>
      <c r="E68" s="27">
        <f>-($N$15*$N$20)</f>
        <v>-1427.8505583673468</v>
      </c>
      <c r="F68" s="27">
        <f t="shared" ref="F68:O68" si="21">-($N$15*$N$20)</f>
        <v>-1427.8505583673468</v>
      </c>
      <c r="G68" s="27">
        <f t="shared" si="21"/>
        <v>-1427.8505583673468</v>
      </c>
      <c r="H68" s="27">
        <f t="shared" si="21"/>
        <v>-1427.8505583673468</v>
      </c>
      <c r="I68" s="27">
        <f t="shared" si="21"/>
        <v>-1427.8505583673468</v>
      </c>
      <c r="J68" s="27">
        <f t="shared" si="21"/>
        <v>-1427.8505583673468</v>
      </c>
      <c r="K68" s="27">
        <f t="shared" si="21"/>
        <v>-1427.8505583673468</v>
      </c>
      <c r="L68" s="27">
        <f t="shared" si="21"/>
        <v>-1427.8505583673468</v>
      </c>
      <c r="M68" s="27">
        <f t="shared" si="21"/>
        <v>-1427.8505583673468</v>
      </c>
      <c r="N68" s="27">
        <f t="shared" si="21"/>
        <v>-1427.8505583673468</v>
      </c>
      <c r="O68" s="28">
        <f t="shared" si="21"/>
        <v>-1427.8505583673468</v>
      </c>
    </row>
    <row r="69" spans="3:15">
      <c r="C69" s="29" t="str">
        <f>C67&amp;" Payment"</f>
        <v>Private Loan 2 Payment</v>
      </c>
      <c r="D69" s="47"/>
      <c r="E69" s="27"/>
      <c r="F69" s="27">
        <f>IF(F58&lt;&gt;0,-($N$16*$N$20),0)</f>
        <v>-2135.5747493877548</v>
      </c>
      <c r="G69" s="27">
        <f>$F$69</f>
        <v>-2135.5747493877548</v>
      </c>
      <c r="H69" s="27">
        <f t="shared" ref="H69:O69" si="22">$F$69</f>
        <v>-2135.5747493877548</v>
      </c>
      <c r="I69" s="27">
        <f t="shared" si="22"/>
        <v>-2135.5747493877548</v>
      </c>
      <c r="J69" s="27">
        <f t="shared" si="22"/>
        <v>-2135.5747493877548</v>
      </c>
      <c r="K69" s="27">
        <f t="shared" si="22"/>
        <v>-2135.5747493877548</v>
      </c>
      <c r="L69" s="27">
        <f t="shared" si="22"/>
        <v>-2135.5747493877548</v>
      </c>
      <c r="M69" s="27">
        <f t="shared" si="22"/>
        <v>-2135.5747493877548</v>
      </c>
      <c r="N69" s="27">
        <f t="shared" si="22"/>
        <v>-2135.5747493877548</v>
      </c>
      <c r="O69" s="28">
        <f t="shared" si="22"/>
        <v>-2135.5747493877548</v>
      </c>
    </row>
    <row r="70" spans="3:15">
      <c r="C70" s="29" t="s">
        <v>26</v>
      </c>
      <c r="D70" s="47"/>
      <c r="E70" s="27">
        <f>$E$22</f>
        <v>10000</v>
      </c>
      <c r="F70" s="27">
        <f>IF(F58=0,E11,$E$22)</f>
        <v>10000</v>
      </c>
      <c r="G70" s="30">
        <f>IF(F58&lt;&gt;0, E11, F70*(1+$E$15))</f>
        <v>65000</v>
      </c>
      <c r="H70" s="27">
        <f>G70*(1+$E$15)</f>
        <v>66885</v>
      </c>
      <c r="I70" s="27">
        <f t="shared" ref="I70:O70" si="23">H70*(1+$E$15)</f>
        <v>68824.664999999994</v>
      </c>
      <c r="J70" s="27">
        <f t="shared" si="23"/>
        <v>70820.580284999989</v>
      </c>
      <c r="K70" s="27">
        <f t="shared" si="23"/>
        <v>72874.377113264985</v>
      </c>
      <c r="L70" s="27">
        <f t="shared" si="23"/>
        <v>74987.734049549661</v>
      </c>
      <c r="M70" s="27">
        <f t="shared" si="23"/>
        <v>77162.3783369866</v>
      </c>
      <c r="N70" s="27">
        <f t="shared" si="23"/>
        <v>79400.087308759204</v>
      </c>
      <c r="O70" s="28">
        <f t="shared" si="23"/>
        <v>81702.68984071321</v>
      </c>
    </row>
    <row r="71" spans="3:15">
      <c r="C71" s="29" t="s">
        <v>27</v>
      </c>
      <c r="D71" s="47"/>
      <c r="E71" s="27">
        <f t="shared" ref="E71:F71" si="24">-(IF(E70&lt;=10000,E70*10%,IF(E70&lt;=85525,E70*22%,IF(E70&lt;=518400,E70*32%,"poop"))))</f>
        <v>-1000</v>
      </c>
      <c r="F71" s="27">
        <f t="shared" si="24"/>
        <v>-1000</v>
      </c>
      <c r="G71" s="27">
        <f>-(IF(G70&lt;=10000,G70*10%,IF(G70&lt;=85525,G70*22%,IF(G70&lt;=518400,G70*32%,"poop"))))</f>
        <v>-14300</v>
      </c>
      <c r="H71" s="27">
        <f t="shared" ref="H71:O71" si="25">-(IF(H70&lt;=10000,H70*10%,IF(H70&lt;=85525,H70*22%,IF(H70&lt;=518400,H70*32%,"poop"))))</f>
        <v>-14714.7</v>
      </c>
      <c r="I71" s="27">
        <f t="shared" si="25"/>
        <v>-15141.426299999999</v>
      </c>
      <c r="J71" s="27">
        <f t="shared" si="25"/>
        <v>-15580.527662699998</v>
      </c>
      <c r="K71" s="27">
        <f t="shared" si="25"/>
        <v>-16032.362964918297</v>
      </c>
      <c r="L71" s="27">
        <f t="shared" si="25"/>
        <v>-16497.301490900925</v>
      </c>
      <c r="M71" s="27">
        <f t="shared" si="25"/>
        <v>-16975.723234137051</v>
      </c>
      <c r="N71" s="27">
        <f t="shared" si="25"/>
        <v>-17468.019207927024</v>
      </c>
      <c r="O71" s="28">
        <f t="shared" si="25"/>
        <v>-17974.591764956906</v>
      </c>
    </row>
    <row r="72" spans="3:15">
      <c r="C72" s="31"/>
      <c r="D72" s="48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8"/>
    </row>
    <row r="73" spans="3:15">
      <c r="C73" s="32" t="s">
        <v>22</v>
      </c>
      <c r="D73" s="43"/>
      <c r="E73" s="33">
        <f>SUM(E58:E71)</f>
        <v>0.34944163265390671</v>
      </c>
      <c r="F73" s="33">
        <f>SUM(F58:F71)</f>
        <v>0.17469224489650514</v>
      </c>
      <c r="G73" s="34">
        <f t="shared" ref="G73:O73" si="26">SUM(G58:G71)</f>
        <v>9582.1114922448905</v>
      </c>
      <c r="H73" s="34">
        <f t="shared" si="26"/>
        <v>10436.871091444893</v>
      </c>
      <c r="I73" s="34">
        <f t="shared" si="26"/>
        <v>11322.574123029692</v>
      </c>
      <c r="J73" s="34">
        <f t="shared" si="26"/>
        <v>12240.234899214607</v>
      </c>
      <c r="K73" s="34">
        <f t="shared" si="26"/>
        <v>13190.899369370027</v>
      </c>
      <c r="L73" s="34">
        <f t="shared" si="26"/>
        <v>14175.646079718867</v>
      </c>
      <c r="M73" s="34">
        <f t="shared" si="26"/>
        <v>15195.587161667365</v>
      </c>
      <c r="N73" s="34">
        <f t="shared" si="26"/>
        <v>16251.869349614888</v>
      </c>
      <c r="O73" s="35">
        <f t="shared" si="26"/>
        <v>19924.475029113233</v>
      </c>
    </row>
    <row r="74" spans="3:15">
      <c r="C74" s="1"/>
      <c r="D74" s="1"/>
      <c r="E74" s="12"/>
      <c r="F74" s="12"/>
      <c r="G74" s="9"/>
      <c r="H74" s="9"/>
      <c r="I74" s="9"/>
      <c r="J74" s="9"/>
      <c r="K74" s="9"/>
      <c r="L74" s="9"/>
      <c r="M74" s="9"/>
      <c r="N74" s="9"/>
      <c r="O74" s="9"/>
    </row>
    <row r="75" spans="3:15" s="14" customFormat="1">
      <c r="C75" s="1"/>
      <c r="D75" s="1"/>
      <c r="E75" s="12"/>
      <c r="F75" s="12"/>
      <c r="G75" s="9"/>
      <c r="H75" s="9"/>
      <c r="I75" s="9"/>
      <c r="J75" s="9"/>
      <c r="K75" s="9"/>
      <c r="L75" s="9"/>
      <c r="M75" s="9"/>
      <c r="N75" s="9"/>
      <c r="O75" s="9"/>
    </row>
    <row r="76" spans="3:15" s="14" customFormat="1">
      <c r="C76" s="1"/>
      <c r="D76" s="1"/>
      <c r="E76" s="12"/>
      <c r="F76" s="12"/>
      <c r="G76" s="9"/>
      <c r="H76" s="9"/>
      <c r="I76" s="9"/>
      <c r="J76" s="9"/>
      <c r="K76" s="9"/>
      <c r="L76" s="9"/>
      <c r="M76" s="9"/>
      <c r="N76" s="9"/>
      <c r="O76" s="9"/>
    </row>
    <row r="77" spans="3:15" s="14" customFormat="1">
      <c r="C77" s="1"/>
      <c r="D77" s="1"/>
      <c r="E77" s="12"/>
      <c r="F77" s="12"/>
      <c r="G77" s="9"/>
      <c r="H77" s="9"/>
      <c r="I77" s="9"/>
      <c r="J77" s="9"/>
      <c r="K77" s="9"/>
      <c r="L77" s="9"/>
      <c r="M77" s="9"/>
      <c r="N77" s="9"/>
      <c r="O77" s="9"/>
    </row>
    <row r="78" spans="3:15" s="14" customFormat="1">
      <c r="C78" s="1"/>
      <c r="D78" s="1"/>
      <c r="E78" s="12"/>
      <c r="F78" s="12"/>
      <c r="G78" s="9"/>
      <c r="H78" s="9"/>
      <c r="I78" s="9"/>
      <c r="J78" s="9"/>
      <c r="K78" s="9"/>
      <c r="L78" s="9"/>
      <c r="M78" s="9"/>
      <c r="N78" s="9"/>
      <c r="O78" s="9"/>
    </row>
    <row r="79" spans="3:15">
      <c r="C79" s="1"/>
      <c r="D79" s="1"/>
      <c r="E79" s="12"/>
      <c r="F79" s="12"/>
      <c r="G79" s="9"/>
      <c r="H79" s="9"/>
      <c r="I79" s="9"/>
      <c r="J79" s="9"/>
      <c r="K79" s="9"/>
      <c r="L79" s="9"/>
      <c r="M79" s="9"/>
      <c r="N79" s="9"/>
      <c r="O79" s="9"/>
    </row>
    <row r="80" spans="3:15">
      <c r="C80" s="8"/>
      <c r="D80" s="8"/>
    </row>
    <row r="81" spans="3:15">
      <c r="O81" s="13"/>
    </row>
    <row r="82" spans="3:15">
      <c r="C82" s="1" t="s">
        <v>31</v>
      </c>
      <c r="D82" s="1"/>
      <c r="O82" s="13"/>
    </row>
    <row r="83" spans="3:15">
      <c r="C83" t="s">
        <v>32</v>
      </c>
    </row>
    <row r="84" spans="3:15">
      <c r="C84" t="s">
        <v>33</v>
      </c>
    </row>
    <row r="85" spans="3:15">
      <c r="C85" t="s">
        <v>34</v>
      </c>
    </row>
    <row r="86" spans="3:15">
      <c r="C86" t="s">
        <v>35</v>
      </c>
    </row>
    <row r="87" spans="3:15">
      <c r="C87" t="s">
        <v>70</v>
      </c>
    </row>
    <row r="88" spans="3:15">
      <c r="C88" t="s">
        <v>71</v>
      </c>
    </row>
    <row r="89" spans="3:15">
      <c r="C89" t="s">
        <v>36</v>
      </c>
    </row>
    <row r="90" spans="3:15">
      <c r="C90" t="s">
        <v>37</v>
      </c>
    </row>
    <row r="91" spans="3:15">
      <c r="C91" t="s">
        <v>38</v>
      </c>
    </row>
    <row r="94" spans="3:15">
      <c r="C94" s="14" t="s">
        <v>61</v>
      </c>
    </row>
    <row r="95" spans="3:15">
      <c r="C95" t="s">
        <v>39</v>
      </c>
      <c r="F95" s="21"/>
      <c r="G95" s="21"/>
    </row>
    <row r="96" spans="3:15">
      <c r="E96" s="15" t="s">
        <v>40</v>
      </c>
      <c r="F96" s="15"/>
    </row>
    <row r="98" spans="3:15">
      <c r="E98" s="16" t="s">
        <v>41</v>
      </c>
      <c r="F98" s="17">
        <v>20500</v>
      </c>
    </row>
    <row r="99" spans="3:15">
      <c r="E99" s="16" t="s">
        <v>42</v>
      </c>
      <c r="F99" s="17">
        <v>20707.07</v>
      </c>
    </row>
    <row r="100" spans="3:15">
      <c r="E100" s="16" t="s">
        <v>43</v>
      </c>
      <c r="F100" s="18">
        <v>4.53E-2</v>
      </c>
    </row>
    <row r="101" spans="3:15">
      <c r="E101" s="16" t="s">
        <v>44</v>
      </c>
      <c r="F101" s="18">
        <v>0.01</v>
      </c>
    </row>
    <row r="102" spans="3:15">
      <c r="E102" s="16" t="s">
        <v>45</v>
      </c>
      <c r="F102" s="16" t="s">
        <v>46</v>
      </c>
    </row>
    <row r="103" spans="3:15">
      <c r="E103" s="16" t="s">
        <v>47</v>
      </c>
      <c r="F103" s="17">
        <v>50</v>
      </c>
    </row>
    <row r="104" spans="3:15">
      <c r="E104" s="16" t="s">
        <v>48</v>
      </c>
      <c r="F104" s="16" t="s">
        <v>49</v>
      </c>
    </row>
    <row r="105" spans="3:15">
      <c r="E105" s="16" t="s">
        <v>50</v>
      </c>
      <c r="F105" s="16" t="s">
        <v>51</v>
      </c>
    </row>
    <row r="106" spans="3:15">
      <c r="E106" s="16" t="s">
        <v>52</v>
      </c>
      <c r="F106" s="16" t="s">
        <v>53</v>
      </c>
    </row>
    <row r="107" spans="3:15">
      <c r="C107" s="1"/>
      <c r="D107" s="1"/>
      <c r="E107" s="16" t="s">
        <v>54</v>
      </c>
      <c r="F107" s="17">
        <v>10250</v>
      </c>
      <c r="H107" s="3"/>
      <c r="I107" s="3"/>
      <c r="J107" s="3"/>
      <c r="K107" s="3"/>
      <c r="L107" s="3"/>
      <c r="M107" s="3"/>
      <c r="N107" s="3"/>
      <c r="O107" s="3"/>
    </row>
    <row r="108" spans="3:15">
      <c r="E108" s="16"/>
      <c r="H108" t="s">
        <v>60</v>
      </c>
    </row>
    <row r="109" spans="3:15">
      <c r="E109" s="19" t="s">
        <v>55</v>
      </c>
      <c r="F109" s="20">
        <v>214.9</v>
      </c>
      <c r="H109">
        <f>F109*12/F98</f>
        <v>0.12579512195121953</v>
      </c>
    </row>
    <row r="110" spans="3:15">
      <c r="E110" s="16" t="s">
        <v>56</v>
      </c>
      <c r="F110" s="16">
        <v>120</v>
      </c>
    </row>
    <row r="111" spans="3:15">
      <c r="E111" s="16"/>
    </row>
    <row r="112" spans="3:15">
      <c r="E112" s="16" t="s">
        <v>57</v>
      </c>
      <c r="F112" s="17">
        <v>25788.66</v>
      </c>
    </row>
    <row r="113" spans="3:8">
      <c r="E113" s="16" t="s">
        <v>58</v>
      </c>
      <c r="F113" s="17">
        <v>5288.66</v>
      </c>
    </row>
    <row r="114" spans="3:8">
      <c r="F114" s="21"/>
      <c r="G114" s="21"/>
    </row>
    <row r="115" spans="3:8">
      <c r="C115" t="s">
        <v>59</v>
      </c>
    </row>
    <row r="116" spans="3:8">
      <c r="E116" s="15" t="s">
        <v>40</v>
      </c>
    </row>
    <row r="118" spans="3:8">
      <c r="E118" s="16" t="s">
        <v>41</v>
      </c>
      <c r="F118" s="17">
        <v>24500</v>
      </c>
    </row>
    <row r="119" spans="3:8">
      <c r="E119" s="16" t="s">
        <v>42</v>
      </c>
      <c r="F119" s="17">
        <v>24747.47</v>
      </c>
    </row>
    <row r="120" spans="3:8">
      <c r="E120" s="16" t="s">
        <v>43</v>
      </c>
      <c r="F120" s="18">
        <v>5.8000000000000003E-2</v>
      </c>
    </row>
    <row r="121" spans="3:8">
      <c r="E121" s="16" t="s">
        <v>44</v>
      </c>
      <c r="F121" s="18">
        <v>0.01</v>
      </c>
    </row>
    <row r="122" spans="3:8">
      <c r="E122" s="16" t="s">
        <v>45</v>
      </c>
      <c r="F122" s="16" t="s">
        <v>46</v>
      </c>
    </row>
    <row r="123" spans="3:8">
      <c r="E123" s="16" t="s">
        <v>47</v>
      </c>
      <c r="F123" s="17">
        <v>50</v>
      </c>
    </row>
    <row r="124" spans="3:8">
      <c r="E124" s="16" t="s">
        <v>48</v>
      </c>
      <c r="F124" s="16" t="s">
        <v>49</v>
      </c>
    </row>
    <row r="125" spans="3:8">
      <c r="E125" s="16" t="s">
        <v>50</v>
      </c>
      <c r="F125" s="16" t="s">
        <v>51</v>
      </c>
    </row>
    <row r="126" spans="3:8">
      <c r="E126" s="16" t="s">
        <v>52</v>
      </c>
      <c r="F126" s="16" t="s">
        <v>53</v>
      </c>
    </row>
    <row r="127" spans="3:8">
      <c r="E127" s="16" t="s">
        <v>54</v>
      </c>
      <c r="F127" s="17">
        <v>12250</v>
      </c>
    </row>
    <row r="128" spans="3:8">
      <c r="E128" s="16"/>
      <c r="H128" s="14" t="s">
        <v>60</v>
      </c>
    </row>
    <row r="129" spans="5:8">
      <c r="E129" s="19" t="s">
        <v>55</v>
      </c>
      <c r="F129" s="20">
        <v>272.27</v>
      </c>
      <c r="H129" s="14">
        <f>F129*12/F118</f>
        <v>0.13335673469387754</v>
      </c>
    </row>
    <row r="130" spans="5:8">
      <c r="E130" s="16" t="s">
        <v>56</v>
      </c>
      <c r="F130" s="16">
        <v>120</v>
      </c>
    </row>
    <row r="131" spans="5:8">
      <c r="E131" s="16"/>
    </row>
    <row r="132" spans="5:8">
      <c r="E132" s="16" t="s">
        <v>57</v>
      </c>
      <c r="F132" s="17">
        <v>32672.2</v>
      </c>
    </row>
    <row r="133" spans="5:8">
      <c r="E133" s="16" t="s">
        <v>58</v>
      </c>
      <c r="F133" s="17">
        <v>8172.2</v>
      </c>
    </row>
  </sheetData>
  <mergeCells count="13">
    <mergeCell ref="F114:G114"/>
    <mergeCell ref="G7:N8"/>
    <mergeCell ref="G13:N14"/>
    <mergeCell ref="D7:E8"/>
    <mergeCell ref="D18:E19"/>
    <mergeCell ref="D13:E14"/>
    <mergeCell ref="A24:B25"/>
    <mergeCell ref="A7:B8"/>
    <mergeCell ref="I20:J21"/>
    <mergeCell ref="K20:K21"/>
    <mergeCell ref="L20:M21"/>
    <mergeCell ref="N20:N21"/>
    <mergeCell ref="F95:G9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89371-B19D-AA42-9073-22F2421948A5}">
  <dimension ref="A2:Q133"/>
  <sheetViews>
    <sheetView zoomScaleNormal="100" workbookViewId="0"/>
  </sheetViews>
  <sheetFormatPr baseColWidth="10" defaultRowHeight="16"/>
  <cols>
    <col min="1" max="1" width="22.5" style="14" bestFit="1" customWidth="1"/>
    <col min="2" max="2" width="12.83203125" style="14" bestFit="1" customWidth="1"/>
    <col min="3" max="3" width="29.83203125" style="14" customWidth="1"/>
    <col min="4" max="4" width="25.5" style="14" bestFit="1" customWidth="1"/>
    <col min="5" max="5" width="20.1640625" style="14" bestFit="1" customWidth="1"/>
    <col min="6" max="6" width="11.6640625" style="14" bestFit="1" customWidth="1"/>
    <col min="7" max="7" width="11" style="14" bestFit="1" customWidth="1"/>
    <col min="8" max="8" width="10" style="14" bestFit="1" customWidth="1"/>
    <col min="9" max="9" width="13" style="14" bestFit="1" customWidth="1"/>
    <col min="10" max="10" width="10" style="14" bestFit="1" customWidth="1"/>
    <col min="11" max="11" width="13.1640625" style="14" bestFit="1" customWidth="1"/>
    <col min="12" max="12" width="10" style="14" bestFit="1" customWidth="1"/>
    <col min="13" max="13" width="12.83203125" style="14" bestFit="1" customWidth="1"/>
    <col min="14" max="14" width="10" style="14" bestFit="1" customWidth="1"/>
    <col min="15" max="15" width="10.6640625" style="14" bestFit="1" customWidth="1"/>
    <col min="16" max="16384" width="10.83203125" style="14"/>
  </cols>
  <sheetData>
    <row r="2" spans="1:17">
      <c r="A2" s="55"/>
      <c r="B2" s="55"/>
      <c r="C2" s="55"/>
      <c r="D2" s="55"/>
    </row>
    <row r="3" spans="1:17">
      <c r="A3" s="55"/>
      <c r="B3" s="55"/>
      <c r="C3" s="55"/>
      <c r="D3" s="55"/>
    </row>
    <row r="7" spans="1:17" ht="16" customHeight="1">
      <c r="A7" s="76" t="s">
        <v>77</v>
      </c>
      <c r="B7" s="77"/>
      <c r="D7" s="56" t="s">
        <v>72</v>
      </c>
      <c r="E7" s="58"/>
      <c r="G7" s="56" t="s">
        <v>68</v>
      </c>
      <c r="H7" s="57"/>
      <c r="I7" s="57"/>
      <c r="J7" s="57"/>
      <c r="K7" s="57"/>
      <c r="L7" s="57"/>
      <c r="M7" s="57"/>
      <c r="N7" s="58"/>
    </row>
    <row r="8" spans="1:17">
      <c r="A8" s="78"/>
      <c r="B8" s="79"/>
      <c r="C8" s="48"/>
      <c r="D8" s="59"/>
      <c r="E8" s="61"/>
      <c r="G8" s="59"/>
      <c r="H8" s="60"/>
      <c r="I8" s="60"/>
      <c r="J8" s="60"/>
      <c r="K8" s="60"/>
      <c r="L8" s="60"/>
      <c r="M8" s="60"/>
      <c r="N8" s="61"/>
    </row>
    <row r="9" spans="1:17">
      <c r="A9" s="52" t="s">
        <v>0</v>
      </c>
      <c r="B9" s="80">
        <v>0.02</v>
      </c>
      <c r="C9" s="41"/>
      <c r="D9" s="52" t="str">
        <f>'NPV-Basic'!B3</f>
        <v>Get a Job Now!</v>
      </c>
      <c r="E9" s="28">
        <v>55000</v>
      </c>
      <c r="G9" s="52" t="s">
        <v>1</v>
      </c>
      <c r="H9" s="27">
        <v>25000</v>
      </c>
      <c r="I9" s="41" t="s">
        <v>2</v>
      </c>
      <c r="J9" s="27">
        <v>5000</v>
      </c>
      <c r="K9" s="41" t="s">
        <v>3</v>
      </c>
      <c r="L9" s="27">
        <v>20500</v>
      </c>
      <c r="M9" s="41" t="s">
        <v>4</v>
      </c>
      <c r="N9" s="28">
        <v>28015</v>
      </c>
    </row>
    <row r="10" spans="1:17">
      <c r="A10" s="31"/>
      <c r="B10" s="53"/>
      <c r="C10" s="41"/>
      <c r="D10" s="52" t="str">
        <f>'NPV-Basic'!B4</f>
        <v>Big Time Tution</v>
      </c>
      <c r="E10" s="28">
        <v>85000</v>
      </c>
      <c r="G10" s="32" t="s">
        <v>5</v>
      </c>
      <c r="H10" s="34">
        <v>25000</v>
      </c>
      <c r="I10" s="43" t="s">
        <v>6</v>
      </c>
      <c r="J10" s="34">
        <v>5000</v>
      </c>
      <c r="K10" s="43" t="s">
        <v>7</v>
      </c>
      <c r="L10" s="34">
        <v>20500</v>
      </c>
      <c r="M10" s="43" t="s">
        <v>8</v>
      </c>
      <c r="N10" s="35">
        <v>35985</v>
      </c>
    </row>
    <row r="11" spans="1:17">
      <c r="A11" s="32" t="s">
        <v>9</v>
      </c>
      <c r="B11" s="54">
        <v>44075</v>
      </c>
      <c r="C11" s="41"/>
      <c r="D11" s="52" t="str">
        <f>'NPV-Basic'!B5</f>
        <v>Affordable Tuition</v>
      </c>
      <c r="E11" s="35">
        <v>65000</v>
      </c>
      <c r="O11" s="2"/>
      <c r="Q11" s="2"/>
    </row>
    <row r="12" spans="1:17">
      <c r="C12" s="41"/>
      <c r="D12" s="1"/>
      <c r="E12" s="2"/>
      <c r="O12" s="2"/>
      <c r="Q12" s="2"/>
    </row>
    <row r="13" spans="1:17">
      <c r="C13" s="41"/>
      <c r="D13" s="56" t="s">
        <v>75</v>
      </c>
      <c r="E13" s="58"/>
      <c r="G13" s="56" t="s">
        <v>69</v>
      </c>
      <c r="H13" s="57"/>
      <c r="I13" s="57"/>
      <c r="J13" s="57"/>
      <c r="K13" s="57"/>
      <c r="L13" s="57"/>
      <c r="M13" s="57"/>
      <c r="N13" s="58"/>
      <c r="O13" s="2"/>
      <c r="Q13" s="2"/>
    </row>
    <row r="14" spans="1:17">
      <c r="C14" s="1"/>
      <c r="D14" s="59"/>
      <c r="E14" s="61"/>
      <c r="G14" s="59"/>
      <c r="H14" s="60"/>
      <c r="I14" s="60"/>
      <c r="J14" s="60"/>
      <c r="K14" s="60"/>
      <c r="L14" s="60"/>
      <c r="M14" s="60"/>
      <c r="N14" s="61"/>
      <c r="O14" s="2"/>
      <c r="Q14" s="2"/>
    </row>
    <row r="15" spans="1:17">
      <c r="A15" s="22" t="s">
        <v>113</v>
      </c>
      <c r="B15" s="45" t="s">
        <v>112</v>
      </c>
      <c r="C15" s="113" t="s">
        <v>114</v>
      </c>
      <c r="D15" s="41" t="s">
        <v>82</v>
      </c>
      <c r="E15" s="66">
        <v>2.9000000000000001E-2</v>
      </c>
      <c r="G15" s="52" t="s">
        <v>10</v>
      </c>
      <c r="H15" s="30">
        <v>10000</v>
      </c>
      <c r="I15" s="41" t="s">
        <v>2</v>
      </c>
      <c r="J15" s="30">
        <v>5000</v>
      </c>
      <c r="K15" s="41" t="s">
        <v>3</v>
      </c>
      <c r="L15" s="30">
        <v>20500</v>
      </c>
      <c r="M15" s="41" t="s">
        <v>4</v>
      </c>
      <c r="N15" s="42">
        <v>10707</v>
      </c>
      <c r="O15" s="2"/>
      <c r="Q15" s="2"/>
    </row>
    <row r="16" spans="1:17">
      <c r="A16" s="109" t="s">
        <v>109</v>
      </c>
      <c r="B16" s="27">
        <f>B26*C16</f>
        <v>56590.287255271185</v>
      </c>
      <c r="C16" s="110">
        <v>0.25</v>
      </c>
      <c r="D16" s="43" t="s">
        <v>11</v>
      </c>
      <c r="E16" s="67">
        <v>1.9E-2</v>
      </c>
      <c r="G16" s="32" t="s">
        <v>12</v>
      </c>
      <c r="H16" s="62">
        <v>10000</v>
      </c>
      <c r="I16" s="43" t="s">
        <v>6</v>
      </c>
      <c r="J16" s="62">
        <v>5000</v>
      </c>
      <c r="K16" s="43" t="s">
        <v>7</v>
      </c>
      <c r="L16" s="62">
        <v>20500</v>
      </c>
      <c r="M16" s="43" t="s">
        <v>8</v>
      </c>
      <c r="N16" s="44">
        <v>16014</v>
      </c>
    </row>
    <row r="17" spans="1:15">
      <c r="A17" s="109" t="s">
        <v>110</v>
      </c>
      <c r="B17" s="27">
        <f>B27*C17</f>
        <v>216349.12683507189</v>
      </c>
      <c r="C17" s="110">
        <v>0.75</v>
      </c>
      <c r="D17" s="1"/>
      <c r="E17" s="7"/>
      <c r="G17" s="1"/>
      <c r="H17" s="2"/>
      <c r="I17" s="1"/>
      <c r="J17" s="2"/>
      <c r="K17" s="1"/>
      <c r="L17" s="2"/>
      <c r="M17" s="1"/>
      <c r="N17" s="2"/>
    </row>
    <row r="18" spans="1:15">
      <c r="A18" s="111" t="s">
        <v>111</v>
      </c>
      <c r="B18" s="34">
        <f>B28*C18</f>
        <v>129019.36502995073</v>
      </c>
      <c r="C18" s="112">
        <v>0.9</v>
      </c>
      <c r="D18" s="108" t="s">
        <v>73</v>
      </c>
      <c r="E18" s="63"/>
      <c r="G18" s="1"/>
      <c r="H18" s="2"/>
      <c r="I18" s="1"/>
      <c r="J18" s="2"/>
      <c r="K18" s="1"/>
      <c r="L18" s="2"/>
      <c r="M18" s="1"/>
      <c r="N18" s="2"/>
    </row>
    <row r="19" spans="1:15">
      <c r="C19" s="1"/>
      <c r="D19" s="64"/>
      <c r="E19" s="65"/>
      <c r="K19" s="1"/>
      <c r="L19" s="8"/>
      <c r="M19" s="1"/>
      <c r="N19" s="8"/>
    </row>
    <row r="20" spans="1:15" ht="16" customHeight="1">
      <c r="C20" s="1"/>
      <c r="D20" s="52" t="s">
        <v>65</v>
      </c>
      <c r="E20" s="28">
        <v>1500</v>
      </c>
      <c r="I20" s="68" t="s">
        <v>67</v>
      </c>
      <c r="J20" s="69"/>
      <c r="K20" s="70">
        <f>H109</f>
        <v>0.12579512195121953</v>
      </c>
      <c r="L20" s="69" t="s">
        <v>13</v>
      </c>
      <c r="M20" s="69"/>
      <c r="N20" s="71">
        <f>H129</f>
        <v>0.13335673469387754</v>
      </c>
    </row>
    <row r="21" spans="1:15">
      <c r="C21" s="1"/>
      <c r="D21" s="52" t="s">
        <v>66</v>
      </c>
      <c r="E21" s="28">
        <v>1100</v>
      </c>
      <c r="I21" s="72"/>
      <c r="J21" s="73"/>
      <c r="K21" s="74"/>
      <c r="L21" s="73"/>
      <c r="M21" s="73"/>
      <c r="N21" s="75"/>
    </row>
    <row r="22" spans="1:15">
      <c r="C22" s="1"/>
      <c r="D22" s="32" t="s">
        <v>14</v>
      </c>
      <c r="E22" s="35">
        <v>10000</v>
      </c>
    </row>
    <row r="23" spans="1:15">
      <c r="C23" s="1"/>
      <c r="D23" s="1"/>
      <c r="E23" s="5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>
      <c r="A24" s="100" t="s">
        <v>108</v>
      </c>
      <c r="B24" s="101"/>
      <c r="C24" s="1" t="s">
        <v>15</v>
      </c>
      <c r="D24" s="50">
        <f>B11</f>
        <v>44075</v>
      </c>
      <c r="E24" s="4">
        <f>$B$11+DATE(0,6,28)</f>
        <v>44255</v>
      </c>
      <c r="F24" s="6">
        <f>E24+DATE(0,12,30)</f>
        <v>44620</v>
      </c>
      <c r="G24" s="6">
        <f t="shared" ref="G24:O24" si="0">F24+DATE(0,12,30)</f>
        <v>44985</v>
      </c>
      <c r="H24" s="6">
        <f t="shared" si="0"/>
        <v>45350</v>
      </c>
      <c r="I24" s="6">
        <f t="shared" si="0"/>
        <v>45715</v>
      </c>
      <c r="J24" s="6">
        <f t="shared" si="0"/>
        <v>46080</v>
      </c>
      <c r="K24" s="6">
        <f t="shared" si="0"/>
        <v>46445</v>
      </c>
      <c r="L24" s="6">
        <f t="shared" si="0"/>
        <v>46810</v>
      </c>
      <c r="M24" s="6">
        <f t="shared" si="0"/>
        <v>47175</v>
      </c>
      <c r="N24" s="6">
        <f t="shared" si="0"/>
        <v>47540</v>
      </c>
      <c r="O24" s="6">
        <f t="shared" si="0"/>
        <v>47905</v>
      </c>
    </row>
    <row r="25" spans="1:15">
      <c r="A25" s="102"/>
      <c r="B25" s="103"/>
      <c r="C25" s="1" t="s">
        <v>16</v>
      </c>
      <c r="D25" s="51">
        <v>0</v>
      </c>
      <c r="E25" s="3">
        <v>0.5</v>
      </c>
      <c r="F25" s="3">
        <v>1.5</v>
      </c>
      <c r="G25" s="3">
        <v>2.5</v>
      </c>
      <c r="H25" s="3">
        <v>3.5</v>
      </c>
      <c r="I25" s="3">
        <v>4.5</v>
      </c>
      <c r="J25" s="3">
        <v>5.5</v>
      </c>
      <c r="K25" s="3">
        <v>6.5</v>
      </c>
      <c r="L25" s="3">
        <v>7.5</v>
      </c>
      <c r="M25" s="3">
        <v>8.5</v>
      </c>
      <c r="N25" s="3">
        <v>9.5</v>
      </c>
      <c r="O25" s="3">
        <v>10.5</v>
      </c>
    </row>
    <row r="26" spans="1:15">
      <c r="A26" s="52" t="str">
        <f>"NPV "&amp;D9</f>
        <v>NPV Get a Job Now!</v>
      </c>
      <c r="B26" s="28">
        <f>XNPV($B$9,D26:O26,$D$24:$O$24)</f>
        <v>226361.14902108474</v>
      </c>
      <c r="C26" s="1" t="str">
        <f>"Net Income: "&amp;C31</f>
        <v>Net Income: Straight to Job Market</v>
      </c>
      <c r="D26" s="9">
        <f>D54</f>
        <v>0</v>
      </c>
      <c r="E26" s="9">
        <f>E37</f>
        <v>11700</v>
      </c>
      <c r="F26" s="9">
        <f t="shared" ref="F26:O26" si="1">F37</f>
        <v>14154.041740935396</v>
      </c>
      <c r="G26" s="9">
        <f t="shared" si="1"/>
        <v>17914.342250528753</v>
      </c>
      <c r="H26" s="9">
        <f t="shared" si="1"/>
        <v>22077.724424913213</v>
      </c>
      <c r="I26" s="9">
        <f t="shared" si="1"/>
        <v>25363.097184987935</v>
      </c>
      <c r="J26" s="9">
        <f t="shared" si="1"/>
        <v>27225.923168711943</v>
      </c>
      <c r="K26" s="9">
        <f t="shared" si="1"/>
        <v>27927.944313299733</v>
      </c>
      <c r="L26" s="9">
        <f t="shared" si="1"/>
        <v>27929.923879997299</v>
      </c>
      <c r="M26" s="9">
        <f t="shared" si="1"/>
        <v>27565.659286622507</v>
      </c>
      <c r="N26" s="9">
        <f t="shared" si="1"/>
        <v>27019.467186093381</v>
      </c>
      <c r="O26" s="9">
        <f t="shared" si="1"/>
        <v>26382.035301834938</v>
      </c>
    </row>
    <row r="27" spans="1:15">
      <c r="A27" s="52" t="str">
        <f t="shared" ref="A27:A28" si="2">"NPV "&amp;D10</f>
        <v>NPV Big Time Tution</v>
      </c>
      <c r="B27" s="28">
        <f>XNPV($B$9,D27:O27,$D$24:$O$24)</f>
        <v>288465.50244676252</v>
      </c>
      <c r="C27" s="1" t="str">
        <f>"Net Income: "&amp;C39</f>
        <v>Net Income: Expensive Tuition (B)</v>
      </c>
      <c r="D27" s="9">
        <f>D55</f>
        <v>0</v>
      </c>
      <c r="E27" s="9">
        <f>E55</f>
        <v>0.21107755101729708</v>
      </c>
      <c r="F27" s="9">
        <f t="shared" ref="F27:O27" si="3">F55</f>
        <v>-0.23102040817320812</v>
      </c>
      <c r="G27" s="9">
        <f t="shared" si="3"/>
        <v>20210.70577959183</v>
      </c>
      <c r="H27" s="9">
        <f t="shared" si="3"/>
        <v>131766.94492191309</v>
      </c>
      <c r="I27" s="9">
        <f t="shared" si="3"/>
        <v>16372.28189695358</v>
      </c>
      <c r="J27" s="9">
        <f t="shared" si="3"/>
        <v>18845.319691452318</v>
      </c>
      <c r="K27" s="9">
        <f t="shared" si="3"/>
        <v>21332.30520421901</v>
      </c>
      <c r="L27" s="9">
        <f t="shared" si="3"/>
        <v>23768.903704680561</v>
      </c>
      <c r="M27" s="9">
        <f t="shared" si="3"/>
        <v>26094.024925276964</v>
      </c>
      <c r="N27" s="9">
        <f t="shared" si="3"/>
        <v>28254.442472626666</v>
      </c>
      <c r="O27" s="9">
        <f t="shared" si="3"/>
        <v>36522.914023320314</v>
      </c>
    </row>
    <row r="28" spans="1:15">
      <c r="A28" s="32" t="str">
        <f t="shared" si="2"/>
        <v>NPV Affordable Tuition</v>
      </c>
      <c r="B28" s="35">
        <f>XNPV($B$9,D28:O28,$D$24:$O$24)</f>
        <v>143354.85003327858</v>
      </c>
      <c r="C28" s="1" t="str">
        <f>"Net Income: "&amp;C57</f>
        <v>Net Income: Affordable Tuition (C)</v>
      </c>
      <c r="D28" s="9">
        <f>D56</f>
        <v>0</v>
      </c>
      <c r="E28" s="9">
        <f>E73</f>
        <v>0.34944163265390671</v>
      </c>
      <c r="F28" s="9">
        <f t="shared" ref="F28:O28" si="4">F73</f>
        <v>0.17469224489650514</v>
      </c>
      <c r="G28" s="9">
        <f t="shared" si="4"/>
        <v>9582.1114922448905</v>
      </c>
      <c r="H28" s="9">
        <f t="shared" si="4"/>
        <v>11953.446339117572</v>
      </c>
      <c r="I28" s="9">
        <f t="shared" si="4"/>
        <v>15001.888799400531</v>
      </c>
      <c r="J28" s="9">
        <f t="shared" si="4"/>
        <v>18608.467781377713</v>
      </c>
      <c r="K28" s="9">
        <f t="shared" si="4"/>
        <v>22517.153880467951</v>
      </c>
      <c r="L28" s="9">
        <f t="shared" si="4"/>
        <v>17319.791785687048</v>
      </c>
      <c r="M28" s="9">
        <f t="shared" si="4"/>
        <v>20274.571392849517</v>
      </c>
      <c r="N28" s="9">
        <f t="shared" si="4"/>
        <v>22693.403461056281</v>
      </c>
      <c r="O28" s="9">
        <f t="shared" si="4"/>
        <v>27071.360371341099</v>
      </c>
    </row>
    <row r="29" spans="1:15">
      <c r="C29" s="1"/>
      <c r="D29" s="1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1:15">
      <c r="C30" s="1"/>
      <c r="D30" s="1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>
      <c r="C31" s="22" t="s">
        <v>23</v>
      </c>
      <c r="D31" s="45"/>
      <c r="E31" s="23"/>
      <c r="F31" s="24"/>
      <c r="G31" s="24"/>
      <c r="H31" s="24"/>
      <c r="I31" s="24"/>
      <c r="J31" s="24"/>
      <c r="K31" s="24"/>
      <c r="L31" s="24"/>
      <c r="M31" s="24"/>
      <c r="N31" s="24"/>
      <c r="O31" s="25"/>
    </row>
    <row r="32" spans="1:15">
      <c r="C32" s="26" t="s">
        <v>24</v>
      </c>
      <c r="D32" s="46"/>
      <c r="E32" s="27">
        <f>-(E20*12)</f>
        <v>-18000</v>
      </c>
      <c r="F32" s="27">
        <f>E32*(1+$E$16)</f>
        <v>-18342</v>
      </c>
      <c r="G32" s="27">
        <f t="shared" ref="G32:O33" si="5">F32*(1+$E$16)</f>
        <v>-18690.498</v>
      </c>
      <c r="H32" s="27">
        <f t="shared" si="5"/>
        <v>-19045.617461999998</v>
      </c>
      <c r="I32" s="27">
        <f t="shared" si="5"/>
        <v>-19407.484193777997</v>
      </c>
      <c r="J32" s="27">
        <f t="shared" si="5"/>
        <v>-19776.226393459776</v>
      </c>
      <c r="K32" s="27">
        <f t="shared" si="5"/>
        <v>-20151.97469493551</v>
      </c>
      <c r="L32" s="27">
        <f t="shared" si="5"/>
        <v>-20534.862214139284</v>
      </c>
      <c r="M32" s="27">
        <f t="shared" si="5"/>
        <v>-20925.024596207928</v>
      </c>
      <c r="N32" s="27">
        <f t="shared" si="5"/>
        <v>-21322.600063535876</v>
      </c>
      <c r="O32" s="28">
        <f t="shared" si="5"/>
        <v>-21727.729464743057</v>
      </c>
    </row>
    <row r="33" spans="3:15">
      <c r="C33" s="29" t="s">
        <v>25</v>
      </c>
      <c r="D33" s="47"/>
      <c r="E33" s="27">
        <f>-(E21*12)</f>
        <v>-13200</v>
      </c>
      <c r="F33" s="27">
        <f>E33*(1+$E$16)</f>
        <v>-13450.8</v>
      </c>
      <c r="G33" s="27">
        <f t="shared" si="5"/>
        <v>-13706.365199999998</v>
      </c>
      <c r="H33" s="27">
        <f t="shared" si="5"/>
        <v>-13966.786138799996</v>
      </c>
      <c r="I33" s="27">
        <f t="shared" si="5"/>
        <v>-14232.155075437195</v>
      </c>
      <c r="J33" s="27">
        <f t="shared" si="5"/>
        <v>-14502.5660218705</v>
      </c>
      <c r="K33" s="27">
        <f t="shared" si="5"/>
        <v>-14778.114776286038</v>
      </c>
      <c r="L33" s="27">
        <f t="shared" si="5"/>
        <v>-15058.898957035472</v>
      </c>
      <c r="M33" s="27">
        <f t="shared" si="5"/>
        <v>-15345.018037219144</v>
      </c>
      <c r="N33" s="27">
        <f t="shared" si="5"/>
        <v>-15636.573379926307</v>
      </c>
      <c r="O33" s="28">
        <f t="shared" si="5"/>
        <v>-15933.668274144906</v>
      </c>
    </row>
    <row r="34" spans="3:15">
      <c r="C34" s="29" t="s">
        <v>99</v>
      </c>
      <c r="D34" s="47"/>
      <c r="E34" s="30">
        <f>E9</f>
        <v>55000</v>
      </c>
      <c r="F34" s="27">
        <f>E34*(1+FisherPryWageGrowth!E14)</f>
        <v>58906.207360173583</v>
      </c>
      <c r="G34" s="27">
        <f>F34*(1+FisherPryWageGrowth!F14)</f>
        <v>64501.545449395839</v>
      </c>
      <c r="H34" s="27">
        <f>G34*(1+FisherPryWageGrowth!G14)</f>
        <v>70628.369263734887</v>
      </c>
      <c r="I34" s="27">
        <f>H34*(1+FisherPryWageGrowth!H14)</f>
        <v>75644.533915645035</v>
      </c>
      <c r="J34" s="27">
        <f>I34*(1+FisherPryWageGrowth!I14)</f>
        <v>78852.199466720791</v>
      </c>
      <c r="K34" s="27">
        <f>J34*(1+FisherPryWageGrowth!J14)</f>
        <v>80587.222800668314</v>
      </c>
      <c r="L34" s="27">
        <f>K34*(1+FisherPryWageGrowth!K14)</f>
        <v>81440.621860476997</v>
      </c>
      <c r="M34" s="27">
        <f>L34*(1+FisherPryWageGrowth!L14)</f>
        <v>81840.643487243055</v>
      </c>
      <c r="N34" s="27">
        <f>M34*(1+FisherPryWageGrowth!M14)</f>
        <v>82023.898243019954</v>
      </c>
      <c r="O34" s="28">
        <f>N34*(1+FisherPryWageGrowth!N14)</f>
        <v>82106.965436824234</v>
      </c>
    </row>
    <row r="35" spans="3:15">
      <c r="C35" s="29" t="s">
        <v>27</v>
      </c>
      <c r="D35" s="47"/>
      <c r="E35" s="27">
        <f t="shared" ref="E35:O35" si="6">-(IF(E34&lt;=10000,E34*10%,IF(E34&lt;=85525,E34*22%,IF(E34&lt;=518400,E34*32%,"poop"))))</f>
        <v>-12100</v>
      </c>
      <c r="F35" s="27">
        <f t="shared" si="6"/>
        <v>-12959.365619238188</v>
      </c>
      <c r="G35" s="27">
        <f t="shared" si="6"/>
        <v>-14190.339998867084</v>
      </c>
      <c r="H35" s="27">
        <f t="shared" si="6"/>
        <v>-15538.241238021676</v>
      </c>
      <c r="I35" s="27">
        <f t="shared" si="6"/>
        <v>-16641.797461441907</v>
      </c>
      <c r="J35" s="27">
        <f t="shared" si="6"/>
        <v>-17347.483882678574</v>
      </c>
      <c r="K35" s="27">
        <f t="shared" si="6"/>
        <v>-17729.189016147029</v>
      </c>
      <c r="L35" s="27">
        <f t="shared" si="6"/>
        <v>-17916.936809304938</v>
      </c>
      <c r="M35" s="27">
        <f t="shared" si="6"/>
        <v>-18004.941567193473</v>
      </c>
      <c r="N35" s="27">
        <f t="shared" si="6"/>
        <v>-18045.25761346439</v>
      </c>
      <c r="O35" s="28">
        <f t="shared" si="6"/>
        <v>-18063.532396101331</v>
      </c>
    </row>
    <row r="36" spans="3:15">
      <c r="C36" s="31"/>
      <c r="D36" s="48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8"/>
    </row>
    <row r="37" spans="3:15">
      <c r="C37" s="32" t="s">
        <v>18</v>
      </c>
      <c r="D37" s="43"/>
      <c r="E37" s="33">
        <f t="shared" ref="E37:O37" si="7">SUM(E32:E35)</f>
        <v>11700</v>
      </c>
      <c r="F37" s="33">
        <f t="shared" si="7"/>
        <v>14154.041740935396</v>
      </c>
      <c r="G37" s="34">
        <f t="shared" si="7"/>
        <v>17914.342250528753</v>
      </c>
      <c r="H37" s="34">
        <f t="shared" si="7"/>
        <v>22077.724424913213</v>
      </c>
      <c r="I37" s="34">
        <f t="shared" si="7"/>
        <v>25363.097184987935</v>
      </c>
      <c r="J37" s="34">
        <f t="shared" si="7"/>
        <v>27225.923168711943</v>
      </c>
      <c r="K37" s="34">
        <f t="shared" si="7"/>
        <v>27927.944313299733</v>
      </c>
      <c r="L37" s="34">
        <f t="shared" si="7"/>
        <v>27929.923879997299</v>
      </c>
      <c r="M37" s="34">
        <f t="shared" si="7"/>
        <v>27565.659286622507</v>
      </c>
      <c r="N37" s="34">
        <f t="shared" si="7"/>
        <v>27019.467186093381</v>
      </c>
      <c r="O37" s="35">
        <f t="shared" si="7"/>
        <v>26382.035301834938</v>
      </c>
    </row>
    <row r="38" spans="3:15">
      <c r="C38" s="1"/>
      <c r="D38" s="1"/>
      <c r="E38" s="9"/>
      <c r="F38" s="8"/>
      <c r="G38" s="8"/>
      <c r="H38" s="8"/>
      <c r="I38" s="8"/>
      <c r="J38" s="8"/>
      <c r="K38" s="8"/>
      <c r="L38" s="8"/>
      <c r="M38" s="8"/>
      <c r="N38" s="8"/>
      <c r="O38" s="8"/>
    </row>
    <row r="39" spans="3:15">
      <c r="C39" s="22" t="s">
        <v>63</v>
      </c>
      <c r="D39" s="45"/>
      <c r="E39" s="23"/>
      <c r="F39" s="24"/>
      <c r="G39" s="24"/>
      <c r="H39" s="24"/>
      <c r="I39" s="24"/>
      <c r="J39" s="24"/>
      <c r="K39" s="24"/>
      <c r="L39" s="24"/>
      <c r="M39" s="24"/>
      <c r="N39" s="24"/>
      <c r="O39" s="25"/>
    </row>
    <row r="40" spans="3:15">
      <c r="C40" s="36" t="s">
        <v>28</v>
      </c>
      <c r="D40" s="49"/>
      <c r="E40" s="37">
        <f>-H9</f>
        <v>-25000</v>
      </c>
      <c r="F40" s="37">
        <f>-H10</f>
        <v>-25000</v>
      </c>
      <c r="G40" s="37">
        <v>0</v>
      </c>
      <c r="H40" s="37">
        <v>0</v>
      </c>
      <c r="I40" s="37">
        <v>0</v>
      </c>
      <c r="J40" s="37">
        <v>0</v>
      </c>
      <c r="K40" s="37">
        <v>0</v>
      </c>
      <c r="L40" s="37">
        <v>0</v>
      </c>
      <c r="M40" s="37">
        <v>0</v>
      </c>
      <c r="N40" s="37">
        <v>0</v>
      </c>
      <c r="O40" s="38">
        <v>0</v>
      </c>
    </row>
    <row r="41" spans="3:15">
      <c r="C41" s="36" t="s">
        <v>29</v>
      </c>
      <c r="D41" s="49"/>
      <c r="E41" s="37">
        <f>J9</f>
        <v>5000</v>
      </c>
      <c r="F41" s="37">
        <f>J10</f>
        <v>5000</v>
      </c>
      <c r="G41" s="37">
        <v>0</v>
      </c>
      <c r="H41" s="37">
        <v>0</v>
      </c>
      <c r="I41" s="37">
        <v>0</v>
      </c>
      <c r="J41" s="37">
        <v>0</v>
      </c>
      <c r="K41" s="37">
        <v>0</v>
      </c>
      <c r="L41" s="37">
        <v>0</v>
      </c>
      <c r="M41" s="37">
        <v>0</v>
      </c>
      <c r="N41" s="37">
        <v>0</v>
      </c>
      <c r="O41" s="38">
        <v>0</v>
      </c>
    </row>
    <row r="42" spans="3:15">
      <c r="C42" s="26" t="s">
        <v>24</v>
      </c>
      <c r="D42" s="46"/>
      <c r="E42" s="27">
        <f>-E20*12</f>
        <v>-18000</v>
      </c>
      <c r="F42" s="27">
        <f>E42*(1+$E$16)</f>
        <v>-18342</v>
      </c>
      <c r="G42" s="27">
        <f t="shared" ref="G42:O43" si="8">F42*(1+$E$16)</f>
        <v>-18690.498</v>
      </c>
      <c r="H42" s="27">
        <f t="shared" si="8"/>
        <v>-19045.617461999998</v>
      </c>
      <c r="I42" s="27">
        <f t="shared" si="8"/>
        <v>-19407.484193777997</v>
      </c>
      <c r="J42" s="27">
        <f t="shared" si="8"/>
        <v>-19776.226393459776</v>
      </c>
      <c r="K42" s="27">
        <f t="shared" si="8"/>
        <v>-20151.97469493551</v>
      </c>
      <c r="L42" s="27">
        <f t="shared" si="8"/>
        <v>-20534.862214139284</v>
      </c>
      <c r="M42" s="27">
        <f t="shared" si="8"/>
        <v>-20925.024596207928</v>
      </c>
      <c r="N42" s="27">
        <f t="shared" si="8"/>
        <v>-21322.600063535876</v>
      </c>
      <c r="O42" s="28">
        <f t="shared" si="8"/>
        <v>-21727.729464743057</v>
      </c>
    </row>
    <row r="43" spans="3:15">
      <c r="C43" s="29" t="s">
        <v>25</v>
      </c>
      <c r="D43" s="47"/>
      <c r="E43" s="27">
        <f>-E21*12</f>
        <v>-13200</v>
      </c>
      <c r="F43" s="27">
        <f>E43*(1+$E$16)</f>
        <v>-13450.8</v>
      </c>
      <c r="G43" s="27">
        <f t="shared" si="8"/>
        <v>-13706.365199999998</v>
      </c>
      <c r="H43" s="27">
        <f t="shared" si="8"/>
        <v>-13966.786138799996</v>
      </c>
      <c r="I43" s="27">
        <f t="shared" si="8"/>
        <v>-14232.155075437195</v>
      </c>
      <c r="J43" s="27">
        <f t="shared" si="8"/>
        <v>-14502.5660218705</v>
      </c>
      <c r="K43" s="27">
        <f t="shared" si="8"/>
        <v>-14778.114776286038</v>
      </c>
      <c r="L43" s="27">
        <f t="shared" si="8"/>
        <v>-15058.898957035472</v>
      </c>
      <c r="M43" s="27">
        <f t="shared" si="8"/>
        <v>-15345.018037219144</v>
      </c>
      <c r="N43" s="27">
        <f t="shared" si="8"/>
        <v>-15636.573379926307</v>
      </c>
      <c r="O43" s="28">
        <f t="shared" si="8"/>
        <v>-15933.668274144906</v>
      </c>
    </row>
    <row r="44" spans="3:15">
      <c r="C44" s="29" t="str">
        <f>K9</f>
        <v>Federal Loan 1</v>
      </c>
      <c r="D44" s="47"/>
      <c r="E44" s="27">
        <f>L9</f>
        <v>20500</v>
      </c>
      <c r="F44" s="27">
        <v>0</v>
      </c>
      <c r="G44" s="37">
        <v>0</v>
      </c>
      <c r="H44" s="37">
        <v>0</v>
      </c>
      <c r="I44" s="37">
        <v>0</v>
      </c>
      <c r="J44" s="37">
        <v>0</v>
      </c>
      <c r="K44" s="37">
        <v>0</v>
      </c>
      <c r="L44" s="37">
        <v>0</v>
      </c>
      <c r="M44" s="37">
        <v>0</v>
      </c>
      <c r="N44" s="37">
        <v>0</v>
      </c>
      <c r="O44" s="38">
        <v>0</v>
      </c>
    </row>
    <row r="45" spans="3:15">
      <c r="C45" s="29" t="str">
        <f>K10</f>
        <v>Federal Loan 2</v>
      </c>
      <c r="D45" s="47"/>
      <c r="E45" s="27">
        <v>0</v>
      </c>
      <c r="F45" s="27">
        <f>L10</f>
        <v>20500</v>
      </c>
      <c r="G45" s="37"/>
      <c r="H45" s="37"/>
      <c r="I45" s="37"/>
      <c r="J45" s="37"/>
      <c r="K45" s="37"/>
      <c r="L45" s="37"/>
      <c r="M45" s="37"/>
      <c r="N45" s="37"/>
      <c r="O45" s="38"/>
    </row>
    <row r="46" spans="3:15">
      <c r="C46" s="29" t="str">
        <f>C44&amp;" Payment"</f>
        <v>Federal Loan 1 Payment</v>
      </c>
      <c r="D46" s="47"/>
      <c r="E46" s="27">
        <f>-($L$9*$K$20)</f>
        <v>-2578.8000000000002</v>
      </c>
      <c r="F46" s="27">
        <f t="shared" ref="F46:N46" si="9">-($L$9*$K$20)</f>
        <v>-2578.8000000000002</v>
      </c>
      <c r="G46" s="27">
        <f t="shared" si="9"/>
        <v>-2578.8000000000002</v>
      </c>
      <c r="H46" s="27">
        <f t="shared" si="9"/>
        <v>-2578.8000000000002</v>
      </c>
      <c r="I46" s="27">
        <f t="shared" si="9"/>
        <v>-2578.8000000000002</v>
      </c>
      <c r="J46" s="27">
        <f t="shared" si="9"/>
        <v>-2578.8000000000002</v>
      </c>
      <c r="K46" s="27">
        <f t="shared" si="9"/>
        <v>-2578.8000000000002</v>
      </c>
      <c r="L46" s="27">
        <f t="shared" si="9"/>
        <v>-2578.8000000000002</v>
      </c>
      <c r="M46" s="27">
        <f t="shared" si="9"/>
        <v>-2578.8000000000002</v>
      </c>
      <c r="N46" s="27">
        <f t="shared" si="9"/>
        <v>-2578.8000000000002</v>
      </c>
      <c r="O46" s="28">
        <v>0</v>
      </c>
    </row>
    <row r="47" spans="3:15">
      <c r="C47" s="29" t="str">
        <f>C45&amp;" Payment"</f>
        <v>Federal Loan 2 Payment</v>
      </c>
      <c r="D47" s="47"/>
      <c r="E47" s="27">
        <v>0</v>
      </c>
      <c r="F47" s="27">
        <f>IF(F40&lt;&gt;0,-($L$10*$K$20),0)</f>
        <v>-2578.8000000000002</v>
      </c>
      <c r="G47" s="27">
        <f>$F$47</f>
        <v>-2578.8000000000002</v>
      </c>
      <c r="H47" s="27">
        <f t="shared" ref="H47:O47" si="10">$F$47</f>
        <v>-2578.8000000000002</v>
      </c>
      <c r="I47" s="27">
        <f t="shared" si="10"/>
        <v>-2578.8000000000002</v>
      </c>
      <c r="J47" s="27">
        <f t="shared" si="10"/>
        <v>-2578.8000000000002</v>
      </c>
      <c r="K47" s="27">
        <f t="shared" si="10"/>
        <v>-2578.8000000000002</v>
      </c>
      <c r="L47" s="27">
        <f t="shared" si="10"/>
        <v>-2578.8000000000002</v>
      </c>
      <c r="M47" s="27">
        <f t="shared" si="10"/>
        <v>-2578.8000000000002</v>
      </c>
      <c r="N47" s="27">
        <f t="shared" si="10"/>
        <v>-2578.8000000000002</v>
      </c>
      <c r="O47" s="28">
        <f t="shared" si="10"/>
        <v>-2578.8000000000002</v>
      </c>
    </row>
    <row r="48" spans="3:15">
      <c r="C48" s="29" t="str">
        <f>M9</f>
        <v>Private Loan 1</v>
      </c>
      <c r="D48" s="47"/>
      <c r="E48" s="27">
        <f>N9</f>
        <v>28015</v>
      </c>
      <c r="F48" s="27">
        <v>0</v>
      </c>
      <c r="G48" s="37">
        <v>0</v>
      </c>
      <c r="H48" s="37">
        <v>0</v>
      </c>
      <c r="I48" s="37">
        <v>0</v>
      </c>
      <c r="J48" s="37">
        <v>0</v>
      </c>
      <c r="K48" s="37">
        <v>0</v>
      </c>
      <c r="L48" s="37">
        <v>0</v>
      </c>
      <c r="M48" s="37">
        <v>0</v>
      </c>
      <c r="N48" s="37">
        <v>0</v>
      </c>
      <c r="O48" s="38">
        <v>0</v>
      </c>
    </row>
    <row r="49" spans="3:15">
      <c r="C49" s="29" t="str">
        <f>M10</f>
        <v>Private Loan 2</v>
      </c>
      <c r="D49" s="47"/>
      <c r="E49" s="27">
        <v>0</v>
      </c>
      <c r="F49" s="27">
        <f>IF(F40&lt;&gt;0,N10,0)</f>
        <v>35985</v>
      </c>
      <c r="G49" s="37">
        <v>0</v>
      </c>
      <c r="H49" s="37">
        <v>0</v>
      </c>
      <c r="I49" s="37">
        <v>0</v>
      </c>
      <c r="J49" s="37">
        <v>0</v>
      </c>
      <c r="K49" s="37">
        <v>0</v>
      </c>
      <c r="L49" s="37">
        <v>0</v>
      </c>
      <c r="M49" s="37">
        <v>0</v>
      </c>
      <c r="N49" s="37">
        <v>0</v>
      </c>
      <c r="O49" s="38">
        <v>0</v>
      </c>
    </row>
    <row r="50" spans="3:15">
      <c r="C50" s="29" t="str">
        <f>C48&amp;" Payment"</f>
        <v>Private Loan 1 Payment</v>
      </c>
      <c r="D50" s="47"/>
      <c r="E50" s="27">
        <f>-($N$9*$N$20)</f>
        <v>-3735.9889224489793</v>
      </c>
      <c r="F50" s="27">
        <f t="shared" ref="F50:N50" si="11">-($N$9*$N$20)</f>
        <v>-3735.9889224489793</v>
      </c>
      <c r="G50" s="27">
        <f t="shared" si="11"/>
        <v>-3735.9889224489793</v>
      </c>
      <c r="H50" s="27">
        <f t="shared" si="11"/>
        <v>-3735.9889224489793</v>
      </c>
      <c r="I50" s="27">
        <f t="shared" si="11"/>
        <v>-3735.9889224489793</v>
      </c>
      <c r="J50" s="27">
        <f t="shared" si="11"/>
        <v>-3735.9889224489793</v>
      </c>
      <c r="K50" s="27">
        <f t="shared" si="11"/>
        <v>-3735.9889224489793</v>
      </c>
      <c r="L50" s="27">
        <f t="shared" si="11"/>
        <v>-3735.9889224489793</v>
      </c>
      <c r="M50" s="27">
        <f t="shared" si="11"/>
        <v>-3735.9889224489793</v>
      </c>
      <c r="N50" s="27">
        <f t="shared" si="11"/>
        <v>-3735.9889224489793</v>
      </c>
      <c r="O50" s="28"/>
    </row>
    <row r="51" spans="3:15">
      <c r="C51" s="29" t="str">
        <f>C49&amp;" Payment"</f>
        <v>Private Loan 2 Payment</v>
      </c>
      <c r="D51" s="47"/>
      <c r="E51" s="27"/>
      <c r="F51" s="27">
        <f>IF(F40&lt;&gt;0,-($N$10*$N$20),0)</f>
        <v>-4798.8420979591838</v>
      </c>
      <c r="G51" s="27">
        <f>$F$51</f>
        <v>-4798.8420979591838</v>
      </c>
      <c r="H51" s="27">
        <f t="shared" ref="H51:O51" si="12">$F$51</f>
        <v>-4798.8420979591838</v>
      </c>
      <c r="I51" s="27">
        <f t="shared" si="12"/>
        <v>-4798.8420979591838</v>
      </c>
      <c r="J51" s="27">
        <f t="shared" si="12"/>
        <v>-4798.8420979591838</v>
      </c>
      <c r="K51" s="27">
        <f t="shared" si="12"/>
        <v>-4798.8420979591838</v>
      </c>
      <c r="L51" s="27">
        <f t="shared" si="12"/>
        <v>-4798.8420979591838</v>
      </c>
      <c r="M51" s="27">
        <f t="shared" si="12"/>
        <v>-4798.8420979591838</v>
      </c>
      <c r="N51" s="27">
        <f t="shared" si="12"/>
        <v>-4798.8420979591838</v>
      </c>
      <c r="O51" s="28">
        <f t="shared" si="12"/>
        <v>-4798.8420979591838</v>
      </c>
    </row>
    <row r="52" spans="3:15">
      <c r="C52" s="29" t="s">
        <v>100</v>
      </c>
      <c r="D52" s="47"/>
      <c r="E52" s="27">
        <f>$E$22</f>
        <v>10000</v>
      </c>
      <c r="F52" s="27">
        <f>IF(F40=0,E10,$E$22)</f>
        <v>10000</v>
      </c>
      <c r="G52" s="27">
        <f>IF(F40&lt;&gt;0, E10, F52*(1+$E$15))</f>
        <v>85000</v>
      </c>
      <c r="H52" s="27">
        <f>G52*(1+FisherPryWageGrowth!E12)</f>
        <v>89235.889771560629</v>
      </c>
      <c r="I52" s="27">
        <f>H52*(1+FisherPryWageGrowth!F12)</f>
        <v>93682.870862613156</v>
      </c>
      <c r="J52" s="27">
        <f>I52*(1+FisherPryWageGrowth!G12)</f>
        <v>98259.62224586877</v>
      </c>
      <c r="K52" s="27">
        <f>J52*(1+FisherPryWageGrowth!H12)</f>
        <v>102874.74367036579</v>
      </c>
      <c r="L52" s="27">
        <f>K52*(1+FisherPryWageGrowth!I12)</f>
        <v>107433.96455332867</v>
      </c>
      <c r="M52" s="27">
        <f>L52*(1+FisherPryWageGrowth!J12)</f>
        <v>111847.7920281062</v>
      </c>
      <c r="N52" s="27">
        <f>M52*(1+FisherPryWageGrowth!K12)</f>
        <v>116038.30431837797</v>
      </c>
      <c r="O52" s="28">
        <f>N52*(1+FisherPryWageGrowth!L12)</f>
        <v>119944.04979436392</v>
      </c>
    </row>
    <row r="53" spans="3:15">
      <c r="C53" s="29" t="s">
        <v>27</v>
      </c>
      <c r="D53" s="47"/>
      <c r="E53" s="27">
        <f t="shared" ref="E53:F53" si="13">-(IF(E52&lt;=10000,E52*10%,IF(E52&lt;=85525,E52*22%,IF(E52&lt;=518400,E52*32%,"poop"))))</f>
        <v>-1000</v>
      </c>
      <c r="F53" s="27">
        <f t="shared" si="13"/>
        <v>-1000</v>
      </c>
      <c r="G53" s="27">
        <f>-(IF(G52&lt;=10000,G52*10%,IF(G52&lt;=85525,G52*22%,IF(G52&lt;=518400,G52*32%,"poop"))))</f>
        <v>-18700</v>
      </c>
      <c r="H53" s="27">
        <f>G52*(1+FisherPryWageGrowth!E12)</f>
        <v>89235.889771560629</v>
      </c>
      <c r="I53" s="27">
        <f t="shared" ref="H53:O53" si="14">-(IF(I52&lt;=10000,I52*10%,IF(I52&lt;=85525,I52*22%,IF(I52&lt;=518400,I52*32%,"poop"))))</f>
        <v>-29978.518676036212</v>
      </c>
      <c r="J53" s="27">
        <f t="shared" si="14"/>
        <v>-31443.079118678008</v>
      </c>
      <c r="K53" s="27">
        <f t="shared" si="14"/>
        <v>-32919.917974517055</v>
      </c>
      <c r="L53" s="27">
        <f t="shared" si="14"/>
        <v>-34378.868657065177</v>
      </c>
      <c r="M53" s="27">
        <f t="shared" si="14"/>
        <v>-35791.293448993987</v>
      </c>
      <c r="N53" s="27">
        <f t="shared" si="14"/>
        <v>-37132.257381880947</v>
      </c>
      <c r="O53" s="28">
        <f t="shared" si="14"/>
        <v>-38382.095934196455</v>
      </c>
    </row>
    <row r="54" spans="3:15">
      <c r="C54" s="31"/>
      <c r="D54" s="48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8"/>
    </row>
    <row r="55" spans="3:15">
      <c r="C55" s="32" t="s">
        <v>20</v>
      </c>
      <c r="D55" s="43"/>
      <c r="E55" s="33">
        <f>SUM(E40:E53)</f>
        <v>0.21107755101729708</v>
      </c>
      <c r="F55" s="33">
        <f>SUM(F40:F53)</f>
        <v>-0.23102040817320812</v>
      </c>
      <c r="G55" s="34">
        <f t="shared" ref="G55:O55" si="15">SUM(G40:G53)</f>
        <v>20210.70577959183</v>
      </c>
      <c r="H55" s="34">
        <f t="shared" si="15"/>
        <v>131766.94492191309</v>
      </c>
      <c r="I55" s="34">
        <f t="shared" si="15"/>
        <v>16372.28189695358</v>
      </c>
      <c r="J55" s="34">
        <f t="shared" si="15"/>
        <v>18845.319691452318</v>
      </c>
      <c r="K55" s="34">
        <f t="shared" si="15"/>
        <v>21332.30520421901</v>
      </c>
      <c r="L55" s="34">
        <f t="shared" si="15"/>
        <v>23768.903704680561</v>
      </c>
      <c r="M55" s="34">
        <f t="shared" si="15"/>
        <v>26094.024925276964</v>
      </c>
      <c r="N55" s="34">
        <f t="shared" si="15"/>
        <v>28254.442472626666</v>
      </c>
      <c r="O55" s="35">
        <f t="shared" si="15"/>
        <v>36522.914023320314</v>
      </c>
    </row>
    <row r="56" spans="3:15">
      <c r="C56" s="1"/>
      <c r="D56" s="1"/>
      <c r="E56" s="12"/>
      <c r="F56" s="12"/>
      <c r="G56" s="9"/>
      <c r="H56" s="9"/>
      <c r="I56" s="9"/>
      <c r="J56" s="9"/>
      <c r="K56" s="9"/>
      <c r="L56" s="9"/>
      <c r="M56" s="9"/>
      <c r="N56" s="9"/>
      <c r="O56" s="9"/>
    </row>
    <row r="57" spans="3:15">
      <c r="C57" s="22" t="s">
        <v>64</v>
      </c>
      <c r="D57" s="45"/>
      <c r="E57" s="39"/>
      <c r="F57" s="39"/>
      <c r="G57" s="23"/>
      <c r="H57" s="23"/>
      <c r="I57" s="23"/>
      <c r="J57" s="23"/>
      <c r="K57" s="23"/>
      <c r="L57" s="23"/>
      <c r="M57" s="23"/>
      <c r="N57" s="23"/>
      <c r="O57" s="40"/>
    </row>
    <row r="58" spans="3:15">
      <c r="C58" s="36" t="s">
        <v>30</v>
      </c>
      <c r="D58" s="49"/>
      <c r="E58" s="37">
        <f>-H15</f>
        <v>-10000</v>
      </c>
      <c r="F58" s="37">
        <f>-H16</f>
        <v>-10000</v>
      </c>
      <c r="G58" s="37">
        <v>0</v>
      </c>
      <c r="H58" s="37">
        <v>0</v>
      </c>
      <c r="I58" s="37">
        <v>0</v>
      </c>
      <c r="J58" s="37">
        <v>0</v>
      </c>
      <c r="K58" s="37">
        <v>0</v>
      </c>
      <c r="L58" s="37">
        <v>0</v>
      </c>
      <c r="M58" s="37">
        <v>0</v>
      </c>
      <c r="N58" s="37">
        <v>0</v>
      </c>
      <c r="O58" s="38">
        <v>0</v>
      </c>
    </row>
    <row r="59" spans="3:15">
      <c r="C59" s="36" t="s">
        <v>29</v>
      </c>
      <c r="D59" s="49"/>
      <c r="E59" s="37">
        <f>J15</f>
        <v>5000</v>
      </c>
      <c r="F59" s="37">
        <f>J16</f>
        <v>5000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0</v>
      </c>
      <c r="M59" s="37">
        <v>0</v>
      </c>
      <c r="N59" s="37">
        <v>0</v>
      </c>
      <c r="O59" s="38">
        <v>0</v>
      </c>
    </row>
    <row r="60" spans="3:15">
      <c r="C60" s="26" t="s">
        <v>24</v>
      </c>
      <c r="D60" s="46"/>
      <c r="E60" s="27">
        <f>-E20*12</f>
        <v>-18000</v>
      </c>
      <c r="F60" s="27">
        <f>E60*(1+$E$16)</f>
        <v>-18342</v>
      </c>
      <c r="G60" s="27">
        <f t="shared" ref="G60:O61" si="16">F60*(1+$E$16)</f>
        <v>-18690.498</v>
      </c>
      <c r="H60" s="27">
        <f t="shared" si="16"/>
        <v>-19045.617461999998</v>
      </c>
      <c r="I60" s="27">
        <f t="shared" si="16"/>
        <v>-19407.484193777997</v>
      </c>
      <c r="J60" s="27">
        <f t="shared" si="16"/>
        <v>-19776.226393459776</v>
      </c>
      <c r="K60" s="27">
        <f t="shared" si="16"/>
        <v>-20151.97469493551</v>
      </c>
      <c r="L60" s="27">
        <f t="shared" si="16"/>
        <v>-20534.862214139284</v>
      </c>
      <c r="M60" s="27">
        <f t="shared" si="16"/>
        <v>-20925.024596207928</v>
      </c>
      <c r="N60" s="27">
        <f t="shared" si="16"/>
        <v>-21322.600063535876</v>
      </c>
      <c r="O60" s="28">
        <f t="shared" si="16"/>
        <v>-21727.729464743057</v>
      </c>
    </row>
    <row r="61" spans="3:15">
      <c r="C61" s="29" t="s">
        <v>25</v>
      </c>
      <c r="D61" s="47"/>
      <c r="E61" s="27">
        <f>-E21*12</f>
        <v>-13200</v>
      </c>
      <c r="F61" s="27">
        <f>E61*(1+$E$16)</f>
        <v>-13450.8</v>
      </c>
      <c r="G61" s="27">
        <f t="shared" si="16"/>
        <v>-13706.365199999998</v>
      </c>
      <c r="H61" s="27">
        <f t="shared" si="16"/>
        <v>-13966.786138799996</v>
      </c>
      <c r="I61" s="27">
        <f t="shared" si="16"/>
        <v>-14232.155075437195</v>
      </c>
      <c r="J61" s="27">
        <f t="shared" si="16"/>
        <v>-14502.5660218705</v>
      </c>
      <c r="K61" s="27">
        <f t="shared" si="16"/>
        <v>-14778.114776286038</v>
      </c>
      <c r="L61" s="27">
        <f t="shared" si="16"/>
        <v>-15058.898957035472</v>
      </c>
      <c r="M61" s="27">
        <f t="shared" si="16"/>
        <v>-15345.018037219144</v>
      </c>
      <c r="N61" s="27">
        <f t="shared" si="16"/>
        <v>-15636.573379926307</v>
      </c>
      <c r="O61" s="28">
        <f t="shared" si="16"/>
        <v>-15933.668274144906</v>
      </c>
    </row>
    <row r="62" spans="3:15">
      <c r="C62" s="29" t="str">
        <f>K15</f>
        <v>Federal Loan 1</v>
      </c>
      <c r="D62" s="47"/>
      <c r="E62" s="27">
        <f>L15</f>
        <v>20500</v>
      </c>
      <c r="F62" s="27">
        <v>0</v>
      </c>
      <c r="G62" s="37">
        <v>0</v>
      </c>
      <c r="H62" s="37">
        <v>0</v>
      </c>
      <c r="I62" s="37">
        <v>0</v>
      </c>
      <c r="J62" s="37">
        <v>0</v>
      </c>
      <c r="K62" s="37">
        <v>0</v>
      </c>
      <c r="L62" s="37">
        <v>0</v>
      </c>
      <c r="M62" s="37">
        <v>0</v>
      </c>
      <c r="N62" s="37">
        <v>0</v>
      </c>
      <c r="O62" s="38">
        <v>0</v>
      </c>
    </row>
    <row r="63" spans="3:15">
      <c r="C63" s="29" t="str">
        <f>K16</f>
        <v>Federal Loan 2</v>
      </c>
      <c r="D63" s="47"/>
      <c r="E63" s="27">
        <v>0</v>
      </c>
      <c r="F63" s="27">
        <f>L16</f>
        <v>20500</v>
      </c>
      <c r="G63" s="37"/>
      <c r="H63" s="37"/>
      <c r="I63" s="37"/>
      <c r="J63" s="37"/>
      <c r="K63" s="37"/>
      <c r="L63" s="37"/>
      <c r="M63" s="37"/>
      <c r="N63" s="37"/>
      <c r="O63" s="38"/>
    </row>
    <row r="64" spans="3:15">
      <c r="C64" s="29" t="str">
        <f>C62&amp;" Payment"</f>
        <v>Federal Loan 1 Payment</v>
      </c>
      <c r="D64" s="47"/>
      <c r="E64" s="27">
        <f>-($L$15*$K$20)</f>
        <v>-2578.8000000000002</v>
      </c>
      <c r="F64" s="27">
        <f t="shared" ref="F64:N64" si="17">-($L$15*$K$20)</f>
        <v>-2578.8000000000002</v>
      </c>
      <c r="G64" s="27">
        <f t="shared" si="17"/>
        <v>-2578.8000000000002</v>
      </c>
      <c r="H64" s="27">
        <f t="shared" si="17"/>
        <v>-2578.8000000000002</v>
      </c>
      <c r="I64" s="27">
        <f t="shared" si="17"/>
        <v>-2578.8000000000002</v>
      </c>
      <c r="J64" s="27">
        <f t="shared" si="17"/>
        <v>-2578.8000000000002</v>
      </c>
      <c r="K64" s="27">
        <f t="shared" si="17"/>
        <v>-2578.8000000000002</v>
      </c>
      <c r="L64" s="27">
        <f t="shared" si="17"/>
        <v>-2578.8000000000002</v>
      </c>
      <c r="M64" s="27">
        <f t="shared" si="17"/>
        <v>-2578.8000000000002</v>
      </c>
      <c r="N64" s="27">
        <f t="shared" si="17"/>
        <v>-2578.8000000000002</v>
      </c>
      <c r="O64" s="28">
        <v>0</v>
      </c>
    </row>
    <row r="65" spans="3:15">
      <c r="C65" s="29" t="str">
        <f>C63&amp;" Payment"</f>
        <v>Federal Loan 2 Payment</v>
      </c>
      <c r="D65" s="47"/>
      <c r="E65" s="27">
        <v>0</v>
      </c>
      <c r="F65" s="27">
        <f>IF(F58&lt;&gt;0,-($L$16*$K$20),0)</f>
        <v>-2578.8000000000002</v>
      </c>
      <c r="G65" s="27">
        <f>$F$65</f>
        <v>-2578.8000000000002</v>
      </c>
      <c r="H65" s="27">
        <f t="shared" ref="H65:O65" si="18">$F$65</f>
        <v>-2578.8000000000002</v>
      </c>
      <c r="I65" s="27">
        <f t="shared" si="18"/>
        <v>-2578.8000000000002</v>
      </c>
      <c r="J65" s="27">
        <f t="shared" si="18"/>
        <v>-2578.8000000000002</v>
      </c>
      <c r="K65" s="27">
        <f t="shared" si="18"/>
        <v>-2578.8000000000002</v>
      </c>
      <c r="L65" s="27">
        <f t="shared" si="18"/>
        <v>-2578.8000000000002</v>
      </c>
      <c r="M65" s="27">
        <f t="shared" si="18"/>
        <v>-2578.8000000000002</v>
      </c>
      <c r="N65" s="27">
        <f t="shared" si="18"/>
        <v>-2578.8000000000002</v>
      </c>
      <c r="O65" s="28">
        <f t="shared" si="18"/>
        <v>-2578.8000000000002</v>
      </c>
    </row>
    <row r="66" spans="3:15">
      <c r="C66" s="29" t="str">
        <f>M15</f>
        <v>Private Loan 1</v>
      </c>
      <c r="D66" s="47"/>
      <c r="E66" s="27">
        <f>N15</f>
        <v>10707</v>
      </c>
      <c r="F66" s="27">
        <v>0</v>
      </c>
      <c r="G66" s="37">
        <v>0</v>
      </c>
      <c r="H66" s="37">
        <v>0</v>
      </c>
      <c r="I66" s="37">
        <v>0</v>
      </c>
      <c r="J66" s="37">
        <v>0</v>
      </c>
      <c r="K66" s="37">
        <v>0</v>
      </c>
      <c r="L66" s="37">
        <v>0</v>
      </c>
      <c r="M66" s="37">
        <v>0</v>
      </c>
      <c r="N66" s="37">
        <v>0</v>
      </c>
      <c r="O66" s="38">
        <v>0</v>
      </c>
    </row>
    <row r="67" spans="3:15">
      <c r="C67" s="29" t="str">
        <f>M16</f>
        <v>Private Loan 2</v>
      </c>
      <c r="D67" s="47"/>
      <c r="E67" s="27">
        <v>0</v>
      </c>
      <c r="F67" s="27">
        <f>N16</f>
        <v>16014</v>
      </c>
      <c r="G67" s="37">
        <v>0</v>
      </c>
      <c r="H67" s="37">
        <v>0</v>
      </c>
      <c r="I67" s="37">
        <v>0</v>
      </c>
      <c r="J67" s="37">
        <v>0</v>
      </c>
      <c r="K67" s="37">
        <v>0</v>
      </c>
      <c r="L67" s="37">
        <v>0</v>
      </c>
      <c r="M67" s="37">
        <v>0</v>
      </c>
      <c r="N67" s="37">
        <v>0</v>
      </c>
      <c r="O67" s="38">
        <v>0</v>
      </c>
    </row>
    <row r="68" spans="3:15">
      <c r="C68" s="29" t="str">
        <f>C66&amp;" Payment"</f>
        <v>Private Loan 1 Payment</v>
      </c>
      <c r="D68" s="47"/>
      <c r="E68" s="27">
        <f>-($N$15*$N$20)</f>
        <v>-1427.8505583673468</v>
      </c>
      <c r="F68" s="27">
        <f t="shared" ref="F68:O68" si="19">-($N$15*$N$20)</f>
        <v>-1427.8505583673468</v>
      </c>
      <c r="G68" s="27">
        <f t="shared" si="19"/>
        <v>-1427.8505583673468</v>
      </c>
      <c r="H68" s="27">
        <f t="shared" si="19"/>
        <v>-1427.8505583673468</v>
      </c>
      <c r="I68" s="27">
        <f t="shared" si="19"/>
        <v>-1427.8505583673468</v>
      </c>
      <c r="J68" s="27">
        <f t="shared" si="19"/>
        <v>-1427.8505583673468</v>
      </c>
      <c r="K68" s="27">
        <f t="shared" si="19"/>
        <v>-1427.8505583673468</v>
      </c>
      <c r="L68" s="27">
        <f t="shared" si="19"/>
        <v>-1427.8505583673468</v>
      </c>
      <c r="M68" s="27">
        <f t="shared" si="19"/>
        <v>-1427.8505583673468</v>
      </c>
      <c r="N68" s="27">
        <f t="shared" si="19"/>
        <v>-1427.8505583673468</v>
      </c>
      <c r="O68" s="28">
        <f t="shared" si="19"/>
        <v>-1427.8505583673468</v>
      </c>
    </row>
    <row r="69" spans="3:15">
      <c r="C69" s="29" t="str">
        <f>C67&amp;" Payment"</f>
        <v>Private Loan 2 Payment</v>
      </c>
      <c r="D69" s="47"/>
      <c r="E69" s="27"/>
      <c r="F69" s="27">
        <f>IF(F58&lt;&gt;0,-($N$16*$N$20),0)</f>
        <v>-2135.5747493877548</v>
      </c>
      <c r="G69" s="27">
        <f>$F$69</f>
        <v>-2135.5747493877548</v>
      </c>
      <c r="H69" s="27">
        <f t="shared" ref="H69:O69" si="20">$F$69</f>
        <v>-2135.5747493877548</v>
      </c>
      <c r="I69" s="27">
        <f t="shared" si="20"/>
        <v>-2135.5747493877548</v>
      </c>
      <c r="J69" s="27">
        <f t="shared" si="20"/>
        <v>-2135.5747493877548</v>
      </c>
      <c r="K69" s="27">
        <f t="shared" si="20"/>
        <v>-2135.5747493877548</v>
      </c>
      <c r="L69" s="27">
        <f t="shared" si="20"/>
        <v>-2135.5747493877548</v>
      </c>
      <c r="M69" s="27">
        <f t="shared" si="20"/>
        <v>-2135.5747493877548</v>
      </c>
      <c r="N69" s="27">
        <f t="shared" si="20"/>
        <v>-2135.5747493877548</v>
      </c>
      <c r="O69" s="28">
        <f t="shared" si="20"/>
        <v>-2135.5747493877548</v>
      </c>
    </row>
    <row r="70" spans="3:15">
      <c r="C70" s="29" t="s">
        <v>101</v>
      </c>
      <c r="D70" s="47"/>
      <c r="E70" s="27">
        <f>$E$22</f>
        <v>10000</v>
      </c>
      <c r="F70" s="27">
        <f>IF(F58=0,E11,$E$22)</f>
        <v>10000</v>
      </c>
      <c r="G70" s="30">
        <f>IF(F58&lt;&gt;0, E11, F70*(1+$E$15))</f>
        <v>65000</v>
      </c>
      <c r="H70" s="27">
        <f>G70*(1+FisherPryWageGrowth!E10)</f>
        <v>68829.327240605999</v>
      </c>
      <c r="I70" s="27">
        <f>H70*(1+FisherPryWageGrowth!F10)</f>
        <v>73541.735097911325</v>
      </c>
      <c r="J70" s="27">
        <f>I70*(1+FisherPryWageGrowth!G10)</f>
        <v>78984.981415978327</v>
      </c>
      <c r="K70" s="27">
        <f>J70*(1+FisherPryWageGrowth!H10)</f>
        <v>84831.113665954632</v>
      </c>
      <c r="L70" s="27">
        <f>K70*(1+FisherPryWageGrowth!I10)</f>
        <v>90639.085683260171</v>
      </c>
      <c r="M70" s="27">
        <f>L70*(1+FisherPryWageGrowth!J10)</f>
        <v>95978.881373576034</v>
      </c>
      <c r="N70" s="27">
        <f>M70*(1+FisherPryWageGrowth!K10)</f>
        <v>100549.41501804937</v>
      </c>
      <c r="O70" s="28">
        <f>N70*(1+FisherPryWageGrowth!L10)</f>
        <v>104227.9167911532</v>
      </c>
    </row>
    <row r="71" spans="3:15">
      <c r="C71" s="29" t="s">
        <v>27</v>
      </c>
      <c r="D71" s="47"/>
      <c r="E71" s="27">
        <f t="shared" ref="E71:F71" si="21">-(IF(E70&lt;=10000,E70*10%,IF(E70&lt;=85525,E70*22%,IF(E70&lt;=518400,E70*32%,"poop"))))</f>
        <v>-1000</v>
      </c>
      <c r="F71" s="27">
        <f t="shared" si="21"/>
        <v>-1000</v>
      </c>
      <c r="G71" s="27">
        <f>-(IF(G70&lt;=10000,G70*10%,IF(G70&lt;=85525,G70*22%,IF(G70&lt;=518400,G70*32%,"poop"))))</f>
        <v>-14300</v>
      </c>
      <c r="H71" s="27">
        <f t="shared" ref="H71:O71" si="22">-(IF(H70&lt;=10000,H70*10%,IF(H70&lt;=85525,H70*22%,IF(H70&lt;=518400,H70*32%,"poop"))))</f>
        <v>-15142.45199293332</v>
      </c>
      <c r="I71" s="27">
        <f t="shared" si="22"/>
        <v>-16179.181721540492</v>
      </c>
      <c r="J71" s="27">
        <f t="shared" si="22"/>
        <v>-17376.695911515231</v>
      </c>
      <c r="K71" s="27">
        <f t="shared" si="22"/>
        <v>-18662.845006510019</v>
      </c>
      <c r="L71" s="27">
        <f t="shared" si="22"/>
        <v>-29004.507418643254</v>
      </c>
      <c r="M71" s="27">
        <f t="shared" si="22"/>
        <v>-30713.242039544333</v>
      </c>
      <c r="N71" s="27">
        <f t="shared" si="22"/>
        <v>-32175.8128057758</v>
      </c>
      <c r="O71" s="28">
        <f t="shared" si="22"/>
        <v>-33352.933373169028</v>
      </c>
    </row>
    <row r="72" spans="3:15">
      <c r="C72" s="31"/>
      <c r="D72" s="48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8"/>
    </row>
    <row r="73" spans="3:15">
      <c r="C73" s="32" t="s">
        <v>22</v>
      </c>
      <c r="D73" s="43"/>
      <c r="E73" s="33">
        <f>SUM(E58:E71)</f>
        <v>0.34944163265390671</v>
      </c>
      <c r="F73" s="33">
        <f>SUM(F58:F71)</f>
        <v>0.17469224489650514</v>
      </c>
      <c r="G73" s="34">
        <f t="shared" ref="G73:O73" si="23">SUM(G58:G71)</f>
        <v>9582.1114922448905</v>
      </c>
      <c r="H73" s="34">
        <f t="shared" si="23"/>
        <v>11953.446339117572</v>
      </c>
      <c r="I73" s="34">
        <f t="shared" si="23"/>
        <v>15001.888799400531</v>
      </c>
      <c r="J73" s="34">
        <f t="shared" si="23"/>
        <v>18608.467781377713</v>
      </c>
      <c r="K73" s="34">
        <f t="shared" si="23"/>
        <v>22517.153880467951</v>
      </c>
      <c r="L73" s="34">
        <f t="shared" si="23"/>
        <v>17319.791785687048</v>
      </c>
      <c r="M73" s="34">
        <f t="shared" si="23"/>
        <v>20274.571392849517</v>
      </c>
      <c r="N73" s="34">
        <f t="shared" si="23"/>
        <v>22693.403461056281</v>
      </c>
      <c r="O73" s="35">
        <f t="shared" si="23"/>
        <v>27071.360371341099</v>
      </c>
    </row>
    <row r="74" spans="3:15">
      <c r="C74" s="1"/>
      <c r="D74" s="1"/>
      <c r="E74" s="12"/>
      <c r="F74" s="12"/>
      <c r="G74" s="9"/>
      <c r="H74" s="9"/>
      <c r="I74" s="9"/>
      <c r="J74" s="9"/>
      <c r="K74" s="9"/>
      <c r="L74" s="9"/>
      <c r="M74" s="9"/>
      <c r="N74" s="9"/>
      <c r="O74" s="9"/>
    </row>
    <row r="75" spans="3:15">
      <c r="C75" s="1"/>
      <c r="D75" s="1"/>
      <c r="E75" s="12"/>
      <c r="F75" s="12"/>
      <c r="G75" s="9"/>
      <c r="H75" s="9"/>
      <c r="I75" s="9"/>
      <c r="J75" s="9"/>
      <c r="K75" s="9"/>
      <c r="L75" s="9"/>
      <c r="M75" s="9"/>
      <c r="N75" s="9"/>
      <c r="O75" s="9"/>
    </row>
    <row r="76" spans="3:15">
      <c r="C76" s="1"/>
      <c r="D76" s="1"/>
      <c r="E76" s="12"/>
      <c r="F76" s="12"/>
      <c r="G76" s="9"/>
      <c r="H76" s="9"/>
      <c r="I76" s="9"/>
      <c r="J76" s="9"/>
      <c r="K76" s="9"/>
      <c r="L76" s="9"/>
      <c r="M76" s="9"/>
      <c r="N76" s="9"/>
      <c r="O76" s="9"/>
    </row>
    <row r="77" spans="3:15">
      <c r="C77" s="1"/>
      <c r="D77" s="1"/>
      <c r="E77" s="12"/>
      <c r="F77" s="12"/>
      <c r="G77" s="9"/>
      <c r="H77" s="9"/>
      <c r="I77" s="9"/>
      <c r="J77" s="9"/>
      <c r="K77" s="9"/>
      <c r="L77" s="9"/>
      <c r="M77" s="9"/>
      <c r="N77" s="9"/>
      <c r="O77" s="9"/>
    </row>
    <row r="78" spans="3:15">
      <c r="C78" s="1"/>
      <c r="D78" s="1"/>
      <c r="E78" s="12"/>
      <c r="F78" s="12"/>
      <c r="G78" s="9"/>
      <c r="H78" s="9"/>
      <c r="I78" s="9"/>
      <c r="J78" s="9"/>
      <c r="K78" s="9"/>
      <c r="L78" s="9"/>
      <c r="M78" s="9"/>
      <c r="N78" s="9"/>
      <c r="O78" s="9"/>
    </row>
    <row r="79" spans="3:15">
      <c r="C79" s="1"/>
      <c r="D79" s="1"/>
      <c r="E79" s="12"/>
      <c r="F79" s="12"/>
      <c r="G79" s="9"/>
      <c r="H79" s="9"/>
      <c r="I79" s="9"/>
      <c r="J79" s="9"/>
      <c r="K79" s="9"/>
      <c r="L79" s="9"/>
      <c r="M79" s="9"/>
      <c r="N79" s="9"/>
      <c r="O79" s="9"/>
    </row>
    <row r="80" spans="3:15">
      <c r="C80" s="8"/>
      <c r="D80" s="8"/>
    </row>
    <row r="81" spans="3:15">
      <c r="O81" s="13"/>
    </row>
    <row r="82" spans="3:15">
      <c r="C82" s="1" t="s">
        <v>31</v>
      </c>
      <c r="D82" s="1"/>
      <c r="O82" s="13"/>
    </row>
    <row r="83" spans="3:15">
      <c r="C83" s="14" t="s">
        <v>32</v>
      </c>
    </row>
    <row r="84" spans="3:15">
      <c r="C84" s="14" t="s">
        <v>33</v>
      </c>
    </row>
    <row r="85" spans="3:15">
      <c r="C85" s="14" t="s">
        <v>34</v>
      </c>
    </row>
    <row r="86" spans="3:15">
      <c r="C86" s="14" t="s">
        <v>35</v>
      </c>
    </row>
    <row r="87" spans="3:15">
      <c r="C87" s="14" t="s">
        <v>70</v>
      </c>
    </row>
    <row r="88" spans="3:15">
      <c r="C88" s="14" t="s">
        <v>71</v>
      </c>
    </row>
    <row r="89" spans="3:15">
      <c r="C89" s="14" t="s">
        <v>36</v>
      </c>
    </row>
    <row r="90" spans="3:15">
      <c r="C90" s="14" t="s">
        <v>37</v>
      </c>
    </row>
    <row r="91" spans="3:15">
      <c r="C91" s="14" t="s">
        <v>38</v>
      </c>
    </row>
    <row r="94" spans="3:15">
      <c r="C94" s="14" t="s">
        <v>61</v>
      </c>
    </row>
    <row r="95" spans="3:15">
      <c r="C95" s="14" t="s">
        <v>39</v>
      </c>
      <c r="F95" s="21"/>
      <c r="G95" s="21"/>
    </row>
    <row r="96" spans="3:15">
      <c r="E96" s="15" t="s">
        <v>40</v>
      </c>
      <c r="F96" s="15"/>
    </row>
    <row r="98" spans="3:15">
      <c r="E98" s="16" t="s">
        <v>41</v>
      </c>
      <c r="F98" s="17">
        <v>20500</v>
      </c>
    </row>
    <row r="99" spans="3:15">
      <c r="E99" s="16" t="s">
        <v>42</v>
      </c>
      <c r="F99" s="17">
        <v>20707.07</v>
      </c>
    </row>
    <row r="100" spans="3:15">
      <c r="E100" s="16" t="s">
        <v>43</v>
      </c>
      <c r="F100" s="18">
        <v>4.53E-2</v>
      </c>
    </row>
    <row r="101" spans="3:15">
      <c r="E101" s="16" t="s">
        <v>44</v>
      </c>
      <c r="F101" s="18">
        <v>0.01</v>
      </c>
    </row>
    <row r="102" spans="3:15">
      <c r="E102" s="16" t="s">
        <v>45</v>
      </c>
      <c r="F102" s="16" t="s">
        <v>46</v>
      </c>
    </row>
    <row r="103" spans="3:15">
      <c r="E103" s="16" t="s">
        <v>47</v>
      </c>
      <c r="F103" s="17">
        <v>50</v>
      </c>
    </row>
    <row r="104" spans="3:15">
      <c r="E104" s="16" t="s">
        <v>48</v>
      </c>
      <c r="F104" s="16" t="s">
        <v>49</v>
      </c>
    </row>
    <row r="105" spans="3:15">
      <c r="E105" s="16" t="s">
        <v>50</v>
      </c>
      <c r="F105" s="16" t="s">
        <v>51</v>
      </c>
    </row>
    <row r="106" spans="3:15">
      <c r="E106" s="16" t="s">
        <v>52</v>
      </c>
      <c r="F106" s="16" t="s">
        <v>53</v>
      </c>
    </row>
    <row r="107" spans="3:15">
      <c r="C107" s="1"/>
      <c r="D107" s="1"/>
      <c r="E107" s="16" t="s">
        <v>54</v>
      </c>
      <c r="F107" s="17">
        <v>10250</v>
      </c>
      <c r="H107" s="3"/>
      <c r="I107" s="3"/>
      <c r="J107" s="3"/>
      <c r="K107" s="3"/>
      <c r="L107" s="3"/>
      <c r="M107" s="3"/>
      <c r="N107" s="3"/>
      <c r="O107" s="3"/>
    </row>
    <row r="108" spans="3:15">
      <c r="E108" s="16"/>
      <c r="H108" s="14" t="s">
        <v>60</v>
      </c>
    </row>
    <row r="109" spans="3:15">
      <c r="E109" s="19" t="s">
        <v>55</v>
      </c>
      <c r="F109" s="20">
        <v>214.9</v>
      </c>
      <c r="H109" s="14">
        <f>F109*12/F98</f>
        <v>0.12579512195121953</v>
      </c>
    </row>
    <row r="110" spans="3:15">
      <c r="E110" s="16" t="s">
        <v>56</v>
      </c>
      <c r="F110" s="16">
        <v>120</v>
      </c>
    </row>
    <row r="111" spans="3:15">
      <c r="E111" s="16"/>
    </row>
    <row r="112" spans="3:15">
      <c r="E112" s="16" t="s">
        <v>57</v>
      </c>
      <c r="F112" s="17">
        <v>25788.66</v>
      </c>
    </row>
    <row r="113" spans="3:8">
      <c r="E113" s="16" t="s">
        <v>58</v>
      </c>
      <c r="F113" s="17">
        <v>5288.66</v>
      </c>
    </row>
    <row r="114" spans="3:8">
      <c r="F114" s="21"/>
      <c r="G114" s="21"/>
    </row>
    <row r="115" spans="3:8">
      <c r="C115" s="14" t="s">
        <v>59</v>
      </c>
    </row>
    <row r="116" spans="3:8">
      <c r="E116" s="15" t="s">
        <v>40</v>
      </c>
    </row>
    <row r="118" spans="3:8">
      <c r="E118" s="16" t="s">
        <v>41</v>
      </c>
      <c r="F118" s="17">
        <v>24500</v>
      </c>
    </row>
    <row r="119" spans="3:8">
      <c r="E119" s="16" t="s">
        <v>42</v>
      </c>
      <c r="F119" s="17">
        <v>24747.47</v>
      </c>
    </row>
    <row r="120" spans="3:8">
      <c r="E120" s="16" t="s">
        <v>43</v>
      </c>
      <c r="F120" s="18">
        <v>5.8000000000000003E-2</v>
      </c>
    </row>
    <row r="121" spans="3:8">
      <c r="E121" s="16" t="s">
        <v>44</v>
      </c>
      <c r="F121" s="18">
        <v>0.01</v>
      </c>
    </row>
    <row r="122" spans="3:8">
      <c r="E122" s="16" t="s">
        <v>45</v>
      </c>
      <c r="F122" s="16" t="s">
        <v>46</v>
      </c>
    </row>
    <row r="123" spans="3:8">
      <c r="E123" s="16" t="s">
        <v>47</v>
      </c>
      <c r="F123" s="17">
        <v>50</v>
      </c>
    </row>
    <row r="124" spans="3:8">
      <c r="E124" s="16" t="s">
        <v>48</v>
      </c>
      <c r="F124" s="16" t="s">
        <v>49</v>
      </c>
    </row>
    <row r="125" spans="3:8">
      <c r="E125" s="16" t="s">
        <v>50</v>
      </c>
      <c r="F125" s="16" t="s">
        <v>51</v>
      </c>
    </row>
    <row r="126" spans="3:8">
      <c r="E126" s="16" t="s">
        <v>52</v>
      </c>
      <c r="F126" s="16" t="s">
        <v>53</v>
      </c>
    </row>
    <row r="127" spans="3:8">
      <c r="E127" s="16" t="s">
        <v>54</v>
      </c>
      <c r="F127" s="17">
        <v>12250</v>
      </c>
    </row>
    <row r="128" spans="3:8">
      <c r="E128" s="16"/>
      <c r="H128" s="14" t="s">
        <v>60</v>
      </c>
    </row>
    <row r="129" spans="5:8">
      <c r="E129" s="19" t="s">
        <v>55</v>
      </c>
      <c r="F129" s="20">
        <v>272.27</v>
      </c>
      <c r="H129" s="14">
        <f>F129*12/F118</f>
        <v>0.13335673469387754</v>
      </c>
    </row>
    <row r="130" spans="5:8">
      <c r="E130" s="16" t="s">
        <v>56</v>
      </c>
      <c r="F130" s="16">
        <v>120</v>
      </c>
    </row>
    <row r="131" spans="5:8">
      <c r="E131" s="16"/>
    </row>
    <row r="132" spans="5:8">
      <c r="E132" s="16" t="s">
        <v>57</v>
      </c>
      <c r="F132" s="17">
        <v>32672.2</v>
      </c>
    </row>
    <row r="133" spans="5:8">
      <c r="E133" s="16" t="s">
        <v>58</v>
      </c>
      <c r="F133" s="17">
        <v>8172.2</v>
      </c>
    </row>
  </sheetData>
  <mergeCells count="13">
    <mergeCell ref="F114:G114"/>
    <mergeCell ref="I20:J21"/>
    <mergeCell ref="K20:K21"/>
    <mergeCell ref="L20:M21"/>
    <mergeCell ref="N20:N21"/>
    <mergeCell ref="A24:B25"/>
    <mergeCell ref="F95:G95"/>
    <mergeCell ref="A7:B8"/>
    <mergeCell ref="D7:E8"/>
    <mergeCell ref="G7:N8"/>
    <mergeCell ref="D13:E14"/>
    <mergeCell ref="G13:N14"/>
    <mergeCell ref="D18:E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5B07F-038E-9442-B4B4-8D7C11E4F76F}">
  <dimension ref="A1:P48"/>
  <sheetViews>
    <sheetView zoomScale="112" zoomScaleNormal="100" workbookViewId="0">
      <selection activeCell="F53" sqref="F53"/>
    </sheetView>
  </sheetViews>
  <sheetFormatPr baseColWidth="10" defaultRowHeight="16"/>
  <cols>
    <col min="1" max="2" width="10.83203125" style="14"/>
    <col min="3" max="3" width="12.83203125" style="14" bestFit="1" customWidth="1"/>
    <col min="4" max="4" width="32" style="14" customWidth="1"/>
    <col min="5" max="5" width="8.33203125" style="14" bestFit="1" customWidth="1"/>
    <col min="6" max="14" width="7.1640625" style="14" bestFit="1" customWidth="1"/>
    <col min="15" max="15" width="7.83203125" style="14" bestFit="1" customWidth="1"/>
    <col min="16" max="16384" width="10.83203125" style="14"/>
  </cols>
  <sheetData>
    <row r="1" spans="1:16">
      <c r="B1" s="14" t="s">
        <v>102</v>
      </c>
      <c r="C1" s="14" t="s">
        <v>106</v>
      </c>
      <c r="D1" s="1"/>
    </row>
    <row r="2" spans="1:16">
      <c r="C2" s="14" t="s">
        <v>105</v>
      </c>
      <c r="D2" s="1"/>
    </row>
    <row r="3" spans="1:16">
      <c r="C3" s="14" t="s">
        <v>103</v>
      </c>
      <c r="D3" s="1"/>
    </row>
    <row r="4" spans="1:16">
      <c r="B4" s="8"/>
      <c r="C4" s="14" t="s">
        <v>104</v>
      </c>
      <c r="D4" s="1"/>
    </row>
    <row r="5" spans="1:16">
      <c r="D5" s="1"/>
    </row>
    <row r="7" spans="1:16">
      <c r="D7" s="1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>
      <c r="A8" s="10" t="s">
        <v>81</v>
      </c>
      <c r="B8" s="10" t="s">
        <v>80</v>
      </c>
      <c r="C8" s="10" t="s">
        <v>78</v>
      </c>
      <c r="D8" s="1" t="s">
        <v>79</v>
      </c>
      <c r="E8" s="3">
        <v>1</v>
      </c>
      <c r="F8" s="3">
        <v>2</v>
      </c>
      <c r="G8" s="3">
        <v>3</v>
      </c>
      <c r="H8" s="3">
        <v>4</v>
      </c>
      <c r="I8" s="3">
        <v>5</v>
      </c>
      <c r="J8" s="3">
        <v>6</v>
      </c>
      <c r="K8" s="3">
        <v>7</v>
      </c>
      <c r="L8" s="3">
        <v>8</v>
      </c>
      <c r="M8" s="3">
        <v>9</v>
      </c>
      <c r="N8" s="3">
        <v>10</v>
      </c>
      <c r="O8" s="3">
        <v>11</v>
      </c>
      <c r="P8" s="3">
        <v>12</v>
      </c>
    </row>
    <row r="9" spans="1:16">
      <c r="A9" s="83">
        <v>0.75</v>
      </c>
      <c r="B9" s="3">
        <v>0.4</v>
      </c>
      <c r="C9" s="3">
        <v>4</v>
      </c>
      <c r="D9" s="1" t="s">
        <v>97</v>
      </c>
      <c r="E9" s="8">
        <f>$A$9*(1/(1+EXP(-$B$9*(E$8-$C$9))))</f>
        <v>0.17360641237573674</v>
      </c>
      <c r="F9" s="8">
        <f t="shared" ref="F9:P9" si="0">$A$9*(1/(1+EXP(-$B$9*(F$8-$C$9))))</f>
        <v>0.23251913915429068</v>
      </c>
      <c r="G9" s="8">
        <f t="shared" si="0"/>
        <v>0.300984254915661</v>
      </c>
      <c r="H9" s="8">
        <f t="shared" si="0"/>
        <v>0.375</v>
      </c>
      <c r="I9" s="8">
        <f t="shared" si="0"/>
        <v>0.449015745084339</v>
      </c>
      <c r="J9" s="8">
        <f t="shared" si="0"/>
        <v>0.51748086084570932</v>
      </c>
      <c r="K9" s="8">
        <f t="shared" si="0"/>
        <v>0.57639358762426329</v>
      </c>
      <c r="L9" s="8">
        <f t="shared" si="0"/>
        <v>0.62401378885044334</v>
      </c>
      <c r="M9" s="8">
        <f t="shared" si="0"/>
        <v>0.66059780848341176</v>
      </c>
      <c r="N9" s="8">
        <f t="shared" si="0"/>
        <v>0.68762047762955825</v>
      </c>
      <c r="O9" s="8">
        <f t="shared" si="0"/>
        <v>0.70700686807584845</v>
      </c>
      <c r="P9" s="8">
        <f t="shared" si="0"/>
        <v>0.72062570790242675</v>
      </c>
    </row>
    <row r="10" spans="1:16">
      <c r="B10" s="3"/>
      <c r="C10" s="3"/>
      <c r="D10" s="1" t="s">
        <v>98</v>
      </c>
      <c r="E10" s="8">
        <f>F9-E9</f>
        <v>5.8912726778553942E-2</v>
      </c>
      <c r="F10" s="8">
        <f t="shared" ref="F10:O10" si="1">G9-F9</f>
        <v>6.8465115761370321E-2</v>
      </c>
      <c r="G10" s="8">
        <f t="shared" si="1"/>
        <v>7.4015745084339002E-2</v>
      </c>
      <c r="H10" s="8">
        <f t="shared" si="1"/>
        <v>7.4015745084339002E-2</v>
      </c>
      <c r="I10" s="8">
        <f t="shared" si="1"/>
        <v>6.8465115761370321E-2</v>
      </c>
      <c r="J10" s="8">
        <f t="shared" si="1"/>
        <v>5.891272677855397E-2</v>
      </c>
      <c r="K10" s="8">
        <f t="shared" si="1"/>
        <v>4.7620201226180048E-2</v>
      </c>
      <c r="L10" s="8">
        <f t="shared" si="1"/>
        <v>3.6584019632968423E-2</v>
      </c>
      <c r="M10" s="8">
        <f t="shared" si="1"/>
        <v>2.7022669146146483E-2</v>
      </c>
      <c r="N10" s="8">
        <f t="shared" si="1"/>
        <v>1.9386390446290203E-2</v>
      </c>
      <c r="O10" s="8">
        <f t="shared" si="1"/>
        <v>1.36188398265783E-2</v>
      </c>
      <c r="P10" s="8"/>
    </row>
    <row r="11" spans="1:16">
      <c r="A11" s="83">
        <v>1</v>
      </c>
      <c r="B11" s="3">
        <v>0.2</v>
      </c>
      <c r="C11" s="3">
        <v>2</v>
      </c>
      <c r="D11" s="1" t="s">
        <v>93</v>
      </c>
      <c r="E11" s="8">
        <f>$A$11*(1/(1+EXP(-$B$11*(E$8-$C$11))))</f>
        <v>0.45016600268752216</v>
      </c>
      <c r="F11" s="8">
        <f t="shared" ref="F11:P11" si="2">$A$11*(1/(1+EXP(-$B$11*(F$8-$C$11))))</f>
        <v>0.5</v>
      </c>
      <c r="G11" s="8">
        <f t="shared" si="2"/>
        <v>0.54983399731247795</v>
      </c>
      <c r="H11" s="8">
        <f t="shared" si="2"/>
        <v>0.598687660112452</v>
      </c>
      <c r="I11" s="8">
        <f t="shared" si="2"/>
        <v>0.6456563062257954</v>
      </c>
      <c r="J11" s="8">
        <f t="shared" si="2"/>
        <v>0.6899744811276125</v>
      </c>
      <c r="K11" s="8">
        <f t="shared" si="2"/>
        <v>0.7310585786300049</v>
      </c>
      <c r="L11" s="8">
        <f t="shared" si="2"/>
        <v>0.76852478349901776</v>
      </c>
      <c r="M11" s="8">
        <f t="shared" si="2"/>
        <v>0.8021838885585818</v>
      </c>
      <c r="N11" s="8">
        <f t="shared" si="2"/>
        <v>0.83201838513392445</v>
      </c>
      <c r="O11" s="8">
        <f t="shared" si="2"/>
        <v>0.85814893509951229</v>
      </c>
      <c r="P11" s="8">
        <f t="shared" si="2"/>
        <v>0.88079707797788231</v>
      </c>
    </row>
    <row r="12" spans="1:16">
      <c r="B12" s="3"/>
      <c r="C12" s="3"/>
      <c r="D12" s="1" t="s">
        <v>94</v>
      </c>
      <c r="E12" s="8">
        <f>F11-E11</f>
        <v>4.983399731247784E-2</v>
      </c>
      <c r="F12" s="8">
        <f t="shared" ref="F12:O12" si="3">G11-F11</f>
        <v>4.9833997312477951E-2</v>
      </c>
      <c r="G12" s="8">
        <f t="shared" si="3"/>
        <v>4.8853662799974051E-2</v>
      </c>
      <c r="H12" s="8">
        <f t="shared" si="3"/>
        <v>4.6968646113343393E-2</v>
      </c>
      <c r="I12" s="8">
        <f t="shared" si="3"/>
        <v>4.4318174901817109E-2</v>
      </c>
      <c r="J12" s="8">
        <f t="shared" si="3"/>
        <v>4.1084097502392392E-2</v>
      </c>
      <c r="K12" s="8">
        <f t="shared" si="3"/>
        <v>3.7466204869012865E-2</v>
      </c>
      <c r="L12" s="8">
        <f t="shared" si="3"/>
        <v>3.3659105059564043E-2</v>
      </c>
      <c r="M12" s="8">
        <f t="shared" si="3"/>
        <v>2.9834496575342651E-2</v>
      </c>
      <c r="N12" s="8">
        <f t="shared" si="3"/>
        <v>2.6130549965587835E-2</v>
      </c>
      <c r="O12" s="8">
        <f t="shared" si="3"/>
        <v>2.2648142878370026E-2</v>
      </c>
      <c r="P12" s="8"/>
    </row>
    <row r="13" spans="1:16">
      <c r="A13" s="83">
        <v>0.5</v>
      </c>
      <c r="B13" s="3">
        <v>0.8</v>
      </c>
      <c r="C13" s="3">
        <v>3</v>
      </c>
      <c r="D13" s="1" t="s">
        <v>95</v>
      </c>
      <c r="E13" s="8">
        <f>$A$13*(1/(1+EXP(-$B$13*(E$8-$C$13))))</f>
        <v>8.3990807433037759E-2</v>
      </c>
      <c r="F13" s="8">
        <f t="shared" ref="F13:O13" si="4">$A$13*(1/(1+EXP(-$B$13*(F$8-$C$13))))</f>
        <v>0.15501275943619378</v>
      </c>
      <c r="G13" s="8">
        <f t="shared" si="4"/>
        <v>0.25</v>
      </c>
      <c r="H13" s="8">
        <f t="shared" si="4"/>
        <v>0.34498724056380625</v>
      </c>
      <c r="I13" s="8">
        <f t="shared" si="4"/>
        <v>0.41600919256696223</v>
      </c>
      <c r="J13" s="8">
        <f t="shared" si="4"/>
        <v>0.45841365175303883</v>
      </c>
      <c r="K13" s="8">
        <f t="shared" si="4"/>
        <v>0.48041713860161783</v>
      </c>
      <c r="L13" s="8">
        <f t="shared" si="4"/>
        <v>0.49100689501895423</v>
      </c>
      <c r="M13" s="8">
        <f t="shared" si="4"/>
        <v>0.49591871442342006</v>
      </c>
      <c r="N13" s="8">
        <f t="shared" si="4"/>
        <v>0.49815788005028205</v>
      </c>
      <c r="O13" s="8">
        <f t="shared" si="4"/>
        <v>0.49917059945991277</v>
      </c>
      <c r="P13" s="8">
        <f>$A$13*(1/(1+EXP(-$B$13*(P$8-$C$13))))</f>
        <v>0.49962698558308166</v>
      </c>
    </row>
    <row r="14" spans="1:16">
      <c r="D14" s="1" t="s">
        <v>96</v>
      </c>
      <c r="E14" s="8">
        <f>F13-E13</f>
        <v>7.1021952003156016E-2</v>
      </c>
      <c r="F14" s="8">
        <f t="shared" ref="F14:O14" si="5">G13-F13</f>
        <v>9.4987240563806224E-2</v>
      </c>
      <c r="G14" s="8">
        <f t="shared" si="5"/>
        <v>9.4987240563806252E-2</v>
      </c>
      <c r="H14" s="8">
        <f t="shared" si="5"/>
        <v>7.1021952003155975E-2</v>
      </c>
      <c r="I14" s="8">
        <f t="shared" si="5"/>
        <v>4.2404459186076604E-2</v>
      </c>
      <c r="J14" s="8">
        <f t="shared" si="5"/>
        <v>2.2003486848579001E-2</v>
      </c>
      <c r="K14" s="8">
        <f t="shared" si="5"/>
        <v>1.0589756417336393E-2</v>
      </c>
      <c r="L14" s="8">
        <f t="shared" si="5"/>
        <v>4.9118194044658336E-3</v>
      </c>
      <c r="M14" s="8">
        <f t="shared" si="5"/>
        <v>2.2391656268619942E-3</v>
      </c>
      <c r="N14" s="8">
        <f t="shared" si="5"/>
        <v>1.0127194096307135E-3</v>
      </c>
      <c r="O14" s="8">
        <f t="shared" si="5"/>
        <v>4.5638612316889482E-4</v>
      </c>
    </row>
    <row r="15" spans="1:16"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6">
      <c r="C16" s="1"/>
      <c r="D16" s="1"/>
    </row>
    <row r="17" spans="4:14"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4:14"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4:14"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45" spans="3:15" ht="136">
      <c r="C45" s="90" t="s">
        <v>83</v>
      </c>
      <c r="D45" s="14" t="s">
        <v>84</v>
      </c>
    </row>
    <row r="46" spans="3:15">
      <c r="D46" s="117" t="s">
        <v>85</v>
      </c>
    </row>
    <row r="48" spans="3:15">
      <c r="D48" s="1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</sheetData>
  <hyperlinks>
    <hyperlink ref="D46" r:id="rId1" xr:uid="{DDF299E9-8B8D-514B-96ED-E3D5AE85E282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NPV-Basic</vt:lpstr>
      <vt:lpstr>NPV-School-LinearWageGrowth</vt:lpstr>
      <vt:lpstr>NPV-School-LogWageGrowth</vt:lpstr>
      <vt:lpstr>FisherPryWageGrowth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2020-05-01T22:30:38Z</dcterms:created>
  <dcterms:modified xsi:type="dcterms:W3CDTF">2020-05-02T19:58:07Z</dcterms:modified>
</cp:coreProperties>
</file>