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se/Documents/Medium/"/>
    </mc:Choice>
  </mc:AlternateContent>
  <xr:revisionPtr revIDLastSave="0" documentId="13_ncr:1_{CFCD41A4-F6E2-9D4D-AF50-4F68A4C3FC54}" xr6:coauthVersionLast="45" xr6:coauthVersionMax="45" xr10:uidLastSave="{00000000-0000-0000-0000-000000000000}"/>
  <bookViews>
    <workbookView xWindow="0" yWindow="480" windowWidth="33460" windowHeight="18940" activeTab="4" xr2:uid="{74D22F3B-3A78-CB44-B429-BA12B1F48B1F}"/>
  </bookViews>
  <sheets>
    <sheet name="Summary" sheetId="1" r:id="rId1"/>
    <sheet name="Calculations" sheetId="3" r:id="rId2"/>
    <sheet name="Data" sheetId="2" r:id="rId3"/>
    <sheet name="FisherPryBasic" sheetId="4" r:id="rId4"/>
    <sheet name="NPV" sheetId="5" r:id="rId5"/>
  </sheets>
  <definedNames>
    <definedName name="I">#REF!</definedName>
    <definedName name="IM">#REF!</definedName>
    <definedName name="imit_rate">#REF!</definedName>
    <definedName name="innov_rate">#REF!</definedName>
    <definedName name="sat_lim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5" l="1"/>
  <c r="G12" i="5" s="1"/>
  <c r="H12" i="5" s="1"/>
  <c r="I12" i="5" s="1"/>
  <c r="J12" i="5" s="1"/>
  <c r="K12" i="5" s="1"/>
  <c r="L12" i="5" s="1"/>
  <c r="M12" i="5" s="1"/>
  <c r="N12" i="5" s="1"/>
  <c r="E12" i="5"/>
  <c r="D12" i="5"/>
  <c r="D23" i="5"/>
  <c r="D59" i="5"/>
  <c r="E59" i="5"/>
  <c r="G59" i="5"/>
  <c r="F59" i="5"/>
  <c r="E41" i="5"/>
  <c r="G41" i="5"/>
  <c r="H41" i="5"/>
  <c r="I41" i="5"/>
  <c r="J41" i="5"/>
  <c r="K41" i="5"/>
  <c r="L41" i="5"/>
  <c r="M41" i="5"/>
  <c r="N41" i="5"/>
  <c r="F58" i="5"/>
  <c r="F40" i="5"/>
  <c r="G40" i="5" s="1"/>
  <c r="H40" i="5" s="1"/>
  <c r="I40" i="5" s="1"/>
  <c r="J40" i="5" s="1"/>
  <c r="K40" i="5" s="1"/>
  <c r="L40" i="5" s="1"/>
  <c r="M40" i="5" s="1"/>
  <c r="N40" i="5" s="1"/>
  <c r="D22" i="5"/>
  <c r="E58" i="5"/>
  <c r="D58" i="5"/>
  <c r="E40" i="5"/>
  <c r="D40" i="5"/>
  <c r="D41" i="5" s="1"/>
  <c r="F53" i="5"/>
  <c r="G53" i="5"/>
  <c r="H53" i="5"/>
  <c r="I53" i="5"/>
  <c r="J53" i="5"/>
  <c r="K53" i="5"/>
  <c r="L53" i="5"/>
  <c r="M53" i="5"/>
  <c r="N53" i="5"/>
  <c r="E52" i="5"/>
  <c r="F52" i="5"/>
  <c r="G52" i="5"/>
  <c r="H52" i="5"/>
  <c r="I52" i="5"/>
  <c r="J52" i="5"/>
  <c r="K52" i="5"/>
  <c r="L52" i="5"/>
  <c r="M52" i="5"/>
  <c r="E53" i="5"/>
  <c r="D52" i="5"/>
  <c r="F35" i="5"/>
  <c r="G35" i="5"/>
  <c r="H35" i="5"/>
  <c r="I35" i="5"/>
  <c r="J35" i="5"/>
  <c r="K35" i="5"/>
  <c r="L35" i="5"/>
  <c r="M35" i="5"/>
  <c r="N35" i="5"/>
  <c r="E34" i="5"/>
  <c r="F34" i="5"/>
  <c r="G34" i="5"/>
  <c r="H34" i="5"/>
  <c r="I34" i="5"/>
  <c r="J34" i="5"/>
  <c r="K34" i="5"/>
  <c r="L34" i="5"/>
  <c r="M34" i="5"/>
  <c r="E35" i="5"/>
  <c r="D34" i="5"/>
  <c r="G58" i="5"/>
  <c r="E55" i="5"/>
  <c r="F57" i="5"/>
  <c r="G57" i="5"/>
  <c r="H57" i="5"/>
  <c r="I57" i="5"/>
  <c r="J57" i="5"/>
  <c r="K57" i="5"/>
  <c r="L57" i="5"/>
  <c r="M57" i="5"/>
  <c r="N57" i="5"/>
  <c r="E57" i="5"/>
  <c r="E56" i="5"/>
  <c r="F56" i="5"/>
  <c r="G56" i="5"/>
  <c r="H56" i="5"/>
  <c r="I56" i="5"/>
  <c r="J56" i="5"/>
  <c r="K56" i="5"/>
  <c r="L56" i="5"/>
  <c r="M56" i="5"/>
  <c r="N56" i="5"/>
  <c r="D56" i="5"/>
  <c r="D54" i="5"/>
  <c r="E51" i="5"/>
  <c r="D50" i="5"/>
  <c r="D49" i="5"/>
  <c r="E49" i="5" s="1"/>
  <c r="F49" i="5" s="1"/>
  <c r="G49" i="5" s="1"/>
  <c r="H49" i="5" s="1"/>
  <c r="I49" i="5" s="1"/>
  <c r="J49" i="5" s="1"/>
  <c r="K49" i="5" s="1"/>
  <c r="L49" i="5" s="1"/>
  <c r="M49" i="5" s="1"/>
  <c r="N49" i="5" s="1"/>
  <c r="D48" i="5"/>
  <c r="E47" i="5"/>
  <c r="D47" i="5"/>
  <c r="E46" i="5"/>
  <c r="D46" i="5"/>
  <c r="F39" i="5"/>
  <c r="G39" i="5"/>
  <c r="H39" i="5"/>
  <c r="I39" i="5"/>
  <c r="J39" i="5"/>
  <c r="K39" i="5"/>
  <c r="L39" i="5"/>
  <c r="M39" i="5"/>
  <c r="N39" i="5"/>
  <c r="E38" i="5"/>
  <c r="F38" i="5"/>
  <c r="G38" i="5"/>
  <c r="H38" i="5"/>
  <c r="I38" i="5"/>
  <c r="J38" i="5"/>
  <c r="K38" i="5"/>
  <c r="L38" i="5"/>
  <c r="M38" i="5"/>
  <c r="E39" i="5"/>
  <c r="D38" i="5"/>
  <c r="D31" i="5"/>
  <c r="E31" i="5" s="1"/>
  <c r="F31" i="5" s="1"/>
  <c r="G31" i="5" s="1"/>
  <c r="H31" i="5" s="1"/>
  <c r="I31" i="5" s="1"/>
  <c r="J31" i="5" s="1"/>
  <c r="K31" i="5" s="1"/>
  <c r="L31" i="5" s="1"/>
  <c r="M31" i="5" s="1"/>
  <c r="N31" i="5" s="1"/>
  <c r="D30" i="5"/>
  <c r="E30" i="5" s="1"/>
  <c r="F30" i="5" s="1"/>
  <c r="G30" i="5" s="1"/>
  <c r="H30" i="5" s="1"/>
  <c r="I30" i="5" s="1"/>
  <c r="J30" i="5" s="1"/>
  <c r="K30" i="5" s="1"/>
  <c r="L30" i="5" s="1"/>
  <c r="M30" i="5" s="1"/>
  <c r="N30" i="5" s="1"/>
  <c r="D21" i="5"/>
  <c r="E21" i="5" s="1"/>
  <c r="F21" i="5" s="1"/>
  <c r="G21" i="5" s="1"/>
  <c r="H21" i="5" s="1"/>
  <c r="I21" i="5" s="1"/>
  <c r="J21" i="5" s="1"/>
  <c r="K21" i="5" s="1"/>
  <c r="L21" i="5" s="1"/>
  <c r="M21" i="5" s="1"/>
  <c r="N21" i="5" s="1"/>
  <c r="D20" i="5"/>
  <c r="E22" i="5"/>
  <c r="E23" i="5" s="1"/>
  <c r="D28" i="5"/>
  <c r="E28" i="5"/>
  <c r="D36" i="5"/>
  <c r="E33" i="5"/>
  <c r="D32" i="5"/>
  <c r="E29" i="5"/>
  <c r="D29" i="5"/>
  <c r="F41" i="5" l="1"/>
  <c r="D61" i="5"/>
  <c r="D16" i="5" s="1"/>
  <c r="E48" i="5"/>
  <c r="E61" i="5" s="1"/>
  <c r="E16" i="5" s="1"/>
  <c r="H58" i="5"/>
  <c r="H59" i="5" s="1"/>
  <c r="F48" i="5"/>
  <c r="F22" i="5"/>
  <c r="D25" i="5"/>
  <c r="D14" i="5" s="1"/>
  <c r="D43" i="5"/>
  <c r="D15" i="5" s="1"/>
  <c r="E20" i="5"/>
  <c r="E37" i="5"/>
  <c r="E9" i="4"/>
  <c r="F9" i="4"/>
  <c r="G9" i="4"/>
  <c r="H9" i="4"/>
  <c r="I9" i="4"/>
  <c r="J9" i="4"/>
  <c r="K9" i="4"/>
  <c r="L9" i="4"/>
  <c r="M9" i="4"/>
  <c r="N9" i="4"/>
  <c r="D9" i="4"/>
  <c r="G22" i="5" l="1"/>
  <c r="F23" i="5"/>
  <c r="I58" i="5"/>
  <c r="I59" i="5" s="1"/>
  <c r="G48" i="5"/>
  <c r="F61" i="5"/>
  <c r="F16" i="5" s="1"/>
  <c r="F43" i="5"/>
  <c r="F15" i="5" s="1"/>
  <c r="E43" i="5"/>
  <c r="E15" i="5" s="1"/>
  <c r="F20" i="5"/>
  <c r="E25" i="5"/>
  <c r="E14" i="5" s="1"/>
  <c r="G43" i="5"/>
  <c r="G15" i="5" s="1"/>
  <c r="E10" i="4"/>
  <c r="F10" i="4"/>
  <c r="G10" i="4"/>
  <c r="H10" i="4"/>
  <c r="I10" i="4"/>
  <c r="J10" i="4"/>
  <c r="K10" i="4"/>
  <c r="L10" i="4"/>
  <c r="M10" i="4"/>
  <c r="N10" i="4"/>
  <c r="D10" i="4"/>
  <c r="E8" i="4"/>
  <c r="F8" i="4"/>
  <c r="G8" i="4"/>
  <c r="H8" i="4"/>
  <c r="I8" i="4"/>
  <c r="J8" i="4"/>
  <c r="K8" i="4"/>
  <c r="L8" i="4"/>
  <c r="M8" i="4"/>
  <c r="N8" i="4"/>
  <c r="D8" i="4"/>
  <c r="B69" i="2"/>
  <c r="H22" i="5" l="1"/>
  <c r="G23" i="5"/>
  <c r="H48" i="5"/>
  <c r="G61" i="5"/>
  <c r="G16" i="5" s="1"/>
  <c r="J58" i="5"/>
  <c r="J59" i="5" s="1"/>
  <c r="G20" i="5"/>
  <c r="F25" i="5"/>
  <c r="F14" i="5" s="1"/>
  <c r="H43" i="5"/>
  <c r="H15" i="5" s="1"/>
  <c r="H21" i="1"/>
  <c r="H18" i="1"/>
  <c r="I22" i="5" l="1"/>
  <c r="H23" i="5"/>
  <c r="K58" i="5"/>
  <c r="K59" i="5" s="1"/>
  <c r="I48" i="5"/>
  <c r="H61" i="5"/>
  <c r="H16" i="5" s="1"/>
  <c r="G25" i="5"/>
  <c r="G14" i="5" s="1"/>
  <c r="H20" i="5"/>
  <c r="I43" i="5"/>
  <c r="I15" i="5" s="1"/>
  <c r="M84" i="3"/>
  <c r="M85" i="3"/>
  <c r="M86" i="3"/>
  <c r="M87" i="3"/>
  <c r="M83" i="3"/>
  <c r="M82" i="3"/>
  <c r="L87" i="3"/>
  <c r="L86" i="3"/>
  <c r="L85" i="3"/>
  <c r="L84" i="3"/>
  <c r="L83" i="3"/>
  <c r="L82" i="3"/>
  <c r="K87" i="3"/>
  <c r="K86" i="3"/>
  <c r="K85" i="3"/>
  <c r="K84" i="3"/>
  <c r="K83" i="3"/>
  <c r="K82" i="3"/>
  <c r="H15" i="3"/>
  <c r="I15" i="3"/>
  <c r="J15" i="3"/>
  <c r="K15" i="3"/>
  <c r="L15" i="3"/>
  <c r="M15" i="3"/>
  <c r="N15" i="3"/>
  <c r="G15" i="3"/>
  <c r="E49" i="2"/>
  <c r="E46" i="2"/>
  <c r="E45" i="2"/>
  <c r="J22" i="5" l="1"/>
  <c r="I23" i="5"/>
  <c r="J48" i="5"/>
  <c r="I61" i="5"/>
  <c r="I16" i="5" s="1"/>
  <c r="L58" i="5"/>
  <c r="L59" i="5" s="1"/>
  <c r="I20" i="5"/>
  <c r="H25" i="5"/>
  <c r="H14" i="5" s="1"/>
  <c r="J43" i="5"/>
  <c r="J15" i="5" s="1"/>
  <c r="E15" i="3"/>
  <c r="V29" i="3"/>
  <c r="W29" i="3"/>
  <c r="X29" i="3"/>
  <c r="Y29" i="3"/>
  <c r="Z29" i="3"/>
  <c r="AA29" i="3"/>
  <c r="O29" i="3"/>
  <c r="P29" i="3"/>
  <c r="Q29" i="3"/>
  <c r="R29" i="3"/>
  <c r="S29" i="3"/>
  <c r="T29" i="3"/>
  <c r="U29" i="3"/>
  <c r="X22" i="3"/>
  <c r="Y22" i="3"/>
  <c r="Z22" i="3"/>
  <c r="AA22" i="3"/>
  <c r="O22" i="3"/>
  <c r="P22" i="3"/>
  <c r="Q22" i="3"/>
  <c r="R22" i="3"/>
  <c r="S22" i="3"/>
  <c r="T22" i="3"/>
  <c r="U22" i="3"/>
  <c r="V22" i="3"/>
  <c r="W22" i="3"/>
  <c r="J87" i="3"/>
  <c r="J86" i="3"/>
  <c r="J85" i="3"/>
  <c r="J84" i="3"/>
  <c r="J83" i="3"/>
  <c r="J82" i="3"/>
  <c r="I87" i="3"/>
  <c r="I86" i="3"/>
  <c r="I85" i="3"/>
  <c r="I84" i="3"/>
  <c r="I83" i="3"/>
  <c r="I82" i="3"/>
  <c r="M29" i="3"/>
  <c r="N29" i="3"/>
  <c r="M22" i="3"/>
  <c r="N22" i="3"/>
  <c r="E17" i="3"/>
  <c r="K22" i="5" l="1"/>
  <c r="J23" i="5"/>
  <c r="M58" i="5"/>
  <c r="M59" i="5" s="1"/>
  <c r="K48" i="5"/>
  <c r="J61" i="5"/>
  <c r="J16" i="5" s="1"/>
  <c r="J20" i="5"/>
  <c r="I25" i="5"/>
  <c r="I14" i="5" s="1"/>
  <c r="K43" i="5"/>
  <c r="K15" i="5" s="1"/>
  <c r="E28" i="3"/>
  <c r="F87" i="3"/>
  <c r="M16" i="3"/>
  <c r="N16" i="3"/>
  <c r="M17" i="3"/>
  <c r="N17" i="3"/>
  <c r="E29" i="3"/>
  <c r="G29" i="3"/>
  <c r="E22" i="3"/>
  <c r="G22" i="3"/>
  <c r="L22" i="5" l="1"/>
  <c r="K23" i="5"/>
  <c r="K61" i="5"/>
  <c r="K16" i="5" s="1"/>
  <c r="L48" i="5"/>
  <c r="N58" i="5"/>
  <c r="N59" i="5" s="1"/>
  <c r="J25" i="5"/>
  <c r="J14" i="5" s="1"/>
  <c r="K20" i="5"/>
  <c r="L43" i="5"/>
  <c r="L15" i="5" s="1"/>
  <c r="N21" i="3"/>
  <c r="N23" i="3" s="1"/>
  <c r="N28" i="3"/>
  <c r="N30" i="3" s="1"/>
  <c r="M21" i="3"/>
  <c r="M23" i="3" s="1"/>
  <c r="G87" i="3" s="1"/>
  <c r="M28" i="3"/>
  <c r="M30" i="3" s="1"/>
  <c r="H87" i="3" s="1"/>
  <c r="E21" i="3"/>
  <c r="M22" i="5" l="1"/>
  <c r="L23" i="5"/>
  <c r="L61" i="5"/>
  <c r="L16" i="5" s="1"/>
  <c r="M48" i="5"/>
  <c r="L20" i="5"/>
  <c r="K25" i="5"/>
  <c r="K14" i="5" s="1"/>
  <c r="M43" i="5"/>
  <c r="M15" i="5" s="1"/>
  <c r="N43" i="5"/>
  <c r="N15" i="5" s="1"/>
  <c r="N24" i="3"/>
  <c r="N40" i="3" s="1"/>
  <c r="N35" i="3"/>
  <c r="M31" i="3"/>
  <c r="M49" i="3" s="1"/>
  <c r="M44" i="3"/>
  <c r="M24" i="3"/>
  <c r="M40" i="3" s="1"/>
  <c r="M35" i="3"/>
  <c r="N31" i="3"/>
  <c r="N49" i="3" s="1"/>
  <c r="N44" i="3"/>
  <c r="D44" i="3"/>
  <c r="D45" i="3"/>
  <c r="D46" i="3"/>
  <c r="D47" i="3"/>
  <c r="D48" i="3"/>
  <c r="D49" i="3"/>
  <c r="D50" i="3"/>
  <c r="D29" i="3"/>
  <c r="D28" i="3"/>
  <c r="N22" i="5" l="1"/>
  <c r="N23" i="5" s="1"/>
  <c r="M23" i="5"/>
  <c r="B15" i="5"/>
  <c r="M61" i="5"/>
  <c r="M16" i="5" s="1"/>
  <c r="N48" i="5"/>
  <c r="N61" i="5" s="1"/>
  <c r="N16" i="5" s="1"/>
  <c r="B16" i="5" s="1"/>
  <c r="L25" i="5"/>
  <c r="L14" i="5" s="1"/>
  <c r="M20" i="5"/>
  <c r="M45" i="3"/>
  <c r="M46" i="3" s="1"/>
  <c r="N45" i="3"/>
  <c r="N46" i="3" s="1"/>
  <c r="M36" i="3"/>
  <c r="M37" i="3" s="1"/>
  <c r="N36" i="3"/>
  <c r="N37" i="3" s="1"/>
  <c r="E7" i="1"/>
  <c r="M25" i="5" l="1"/>
  <c r="M14" i="5" s="1"/>
  <c r="N20" i="5"/>
  <c r="N25" i="5" s="1"/>
  <c r="N14" i="5" s="1"/>
  <c r="B14" i="5" s="1"/>
  <c r="D7" i="1"/>
  <c r="C49" i="3"/>
  <c r="C40" i="3"/>
  <c r="C47" i="3"/>
  <c r="C38" i="3"/>
  <c r="C36" i="3"/>
  <c r="C28" i="3"/>
  <c r="C21" i="3"/>
  <c r="D12" i="3"/>
  <c r="D11" i="3"/>
  <c r="C12" i="3"/>
  <c r="I29" i="3"/>
  <c r="J29" i="3"/>
  <c r="K29" i="3"/>
  <c r="L29" i="3"/>
  <c r="H29" i="3"/>
  <c r="H22" i="3"/>
  <c r="I22" i="3"/>
  <c r="J22" i="3"/>
  <c r="K22" i="3"/>
  <c r="L22" i="3"/>
  <c r="H17" i="3"/>
  <c r="I17" i="3"/>
  <c r="J17" i="3"/>
  <c r="K17" i="3"/>
  <c r="L17" i="3"/>
  <c r="G17" i="3"/>
  <c r="G9" i="3"/>
  <c r="G8" i="3"/>
  <c r="G7" i="3"/>
  <c r="G5" i="3"/>
  <c r="G4" i="3"/>
  <c r="G3" i="3"/>
  <c r="I13" i="3"/>
  <c r="J13" i="3"/>
  <c r="K13" i="3"/>
  <c r="L13" i="3"/>
  <c r="H13" i="3"/>
  <c r="L21" i="3" l="1"/>
  <c r="L23" i="3" s="1"/>
  <c r="F86" i="3"/>
  <c r="J21" i="3"/>
  <c r="J23" i="3" s="1"/>
  <c r="G84" i="3" s="1"/>
  <c r="F84" i="3"/>
  <c r="K21" i="3"/>
  <c r="K23" i="3" s="1"/>
  <c r="G85" i="3" s="1"/>
  <c r="F85" i="3"/>
  <c r="H21" i="3"/>
  <c r="H23" i="3" s="1"/>
  <c r="G82" i="3" s="1"/>
  <c r="F82" i="3"/>
  <c r="I28" i="3"/>
  <c r="I30" i="3" s="1"/>
  <c r="H83" i="3" s="1"/>
  <c r="F83" i="3"/>
  <c r="G28" i="3"/>
  <c r="G21" i="3"/>
  <c r="M47" i="3"/>
  <c r="M48" i="3" s="1"/>
  <c r="M50" i="3" s="1"/>
  <c r="N38" i="3"/>
  <c r="N39" i="3" s="1"/>
  <c r="N41" i="3" s="1"/>
  <c r="N47" i="3"/>
  <c r="N48" i="3" s="1"/>
  <c r="N50" i="3" s="1"/>
  <c r="M38" i="3"/>
  <c r="M39" i="3" s="1"/>
  <c r="M41" i="3" s="1"/>
  <c r="H28" i="3"/>
  <c r="H30" i="3" s="1"/>
  <c r="H82" i="3" s="1"/>
  <c r="I21" i="3"/>
  <c r="I23" i="3" s="1"/>
  <c r="G83" i="3" s="1"/>
  <c r="K28" i="3"/>
  <c r="K30" i="3" s="1"/>
  <c r="H85" i="3" s="1"/>
  <c r="L28" i="3"/>
  <c r="L30" i="3" s="1"/>
  <c r="H86" i="3" s="1"/>
  <c r="J28" i="3"/>
  <c r="J30" i="3" s="1"/>
  <c r="H84" i="3" s="1"/>
  <c r="G2" i="3"/>
  <c r="L11" i="3" l="1"/>
  <c r="L35" i="3" s="1"/>
  <c r="L36" i="3" s="1"/>
  <c r="L37" i="3" s="1"/>
  <c r="G86" i="3"/>
  <c r="J12" i="3"/>
  <c r="J44" i="3" s="1"/>
  <c r="J45" i="3" s="1"/>
  <c r="J46" i="3" s="1"/>
  <c r="J47" i="3" s="1"/>
  <c r="J48" i="3" s="1"/>
  <c r="L12" i="3"/>
  <c r="L44" i="3" s="1"/>
  <c r="L45" i="3" s="1"/>
  <c r="L46" i="3" s="1"/>
  <c r="L47" i="3" s="1"/>
  <c r="L48" i="3" s="1"/>
  <c r="I11" i="3"/>
  <c r="I35" i="3" s="1"/>
  <c r="H11" i="3"/>
  <c r="H35" i="3" s="1"/>
  <c r="K11" i="3"/>
  <c r="K35" i="3" s="1"/>
  <c r="K12" i="3"/>
  <c r="K44" i="3" s="1"/>
  <c r="K45" i="3" s="1"/>
  <c r="K46" i="3" s="1"/>
  <c r="K47" i="3" s="1"/>
  <c r="K48" i="3" s="1"/>
  <c r="I12" i="3"/>
  <c r="I44" i="3" s="1"/>
  <c r="I45" i="3" s="1"/>
  <c r="I46" i="3" s="1"/>
  <c r="I47" i="3" s="1"/>
  <c r="I48" i="3" s="1"/>
  <c r="H12" i="3"/>
  <c r="H44" i="3" s="1"/>
  <c r="H45" i="3" s="1"/>
  <c r="H46" i="3" s="1"/>
  <c r="H47" i="3" s="1"/>
  <c r="J11" i="3"/>
  <c r="J35" i="3" s="1"/>
  <c r="L38" i="3" l="1"/>
  <c r="L39" i="3" s="1"/>
  <c r="L72" i="3"/>
  <c r="L65" i="3"/>
  <c r="H48" i="3"/>
  <c r="F54" i="3" a="1"/>
  <c r="F54" i="3" s="1"/>
  <c r="J36" i="3"/>
  <c r="J37" i="3" s="1"/>
  <c r="K36" i="3"/>
  <c r="K37" i="3" s="1"/>
  <c r="H36" i="3"/>
  <c r="H37" i="3" s="1"/>
  <c r="H65" i="3" s="1"/>
  <c r="I36" i="3"/>
  <c r="I37" i="3" s="1"/>
  <c r="K38" i="3" l="1"/>
  <c r="K39" i="3" s="1"/>
  <c r="K72" i="3"/>
  <c r="K65" i="3"/>
  <c r="I38" i="3"/>
  <c r="I39" i="3" s="1"/>
  <c r="I72" i="3"/>
  <c r="I65" i="3"/>
  <c r="H72" i="3"/>
  <c r="J38" i="3"/>
  <c r="J39" i="3" s="1"/>
  <c r="J72" i="3"/>
  <c r="J65" i="3"/>
  <c r="H38" i="3"/>
  <c r="H39" i="3" s="1"/>
  <c r="F53" i="3" l="1" a="1"/>
  <c r="F53" i="3" s="1"/>
  <c r="F55" i="3" s="1"/>
  <c r="J11" i="1" s="1"/>
  <c r="F66" i="3"/>
  <c r="E12" i="1" s="1"/>
  <c r="I12" i="1" l="1"/>
  <c r="H16" i="3"/>
  <c r="I16" i="3"/>
  <c r="J16" i="3"/>
  <c r="K16" i="3"/>
  <c r="L16" i="3"/>
  <c r="G16" i="3"/>
  <c r="D17" i="3"/>
  <c r="C17" i="3"/>
  <c r="C16" i="3"/>
  <c r="C15" i="3"/>
  <c r="E16" i="3"/>
  <c r="D16" i="3"/>
  <c r="D15" i="3"/>
  <c r="J13" i="1" l="1"/>
  <c r="J24" i="3"/>
  <c r="J40" i="3" s="1"/>
  <c r="J41" i="3" s="1"/>
  <c r="J31" i="3"/>
  <c r="J49" i="3" s="1"/>
  <c r="J50" i="3" s="1"/>
  <c r="I24" i="3"/>
  <c r="I40" i="3" s="1"/>
  <c r="I41" i="3" s="1"/>
  <c r="I31" i="3"/>
  <c r="I49" i="3" s="1"/>
  <c r="I50" i="3" s="1"/>
  <c r="L31" i="3"/>
  <c r="L49" i="3" s="1"/>
  <c r="L50" i="3" s="1"/>
  <c r="L24" i="3"/>
  <c r="L40" i="3" s="1"/>
  <c r="L41" i="3" s="1"/>
  <c r="K24" i="3"/>
  <c r="K40" i="3" s="1"/>
  <c r="K41" i="3" s="1"/>
  <c r="K31" i="3"/>
  <c r="K49" i="3" s="1"/>
  <c r="K50" i="3" s="1"/>
  <c r="H24" i="3"/>
  <c r="H40" i="3" s="1"/>
  <c r="H31" i="3"/>
  <c r="H49" i="3" s="1"/>
  <c r="C8" i="3"/>
  <c r="C9" i="3"/>
  <c r="C7" i="3"/>
  <c r="D13" i="3"/>
  <c r="C13" i="3"/>
  <c r="C11" i="3"/>
  <c r="C4" i="3"/>
  <c r="C5" i="3"/>
  <c r="C3" i="3"/>
  <c r="D4" i="3"/>
  <c r="D5" i="3"/>
  <c r="D3" i="3"/>
  <c r="F1" i="3"/>
  <c r="H50" i="3" l="1"/>
  <c r="F58" i="3" a="1"/>
  <c r="F58" i="3" s="1"/>
  <c r="H41" i="3"/>
  <c r="F57" i="3" a="1"/>
  <c r="F57" i="3" s="1"/>
  <c r="G6" i="3"/>
  <c r="B15" i="1"/>
  <c r="G72" i="3" l="1"/>
  <c r="F73" i="3" s="1"/>
  <c r="E17" i="1" s="1"/>
  <c r="F68" i="3"/>
  <c r="F59" i="3"/>
  <c r="H11" i="1" l="1"/>
  <c r="H13" i="1" s="1"/>
  <c r="F61" i="3"/>
  <c r="E11" i="1" s="1"/>
  <c r="E13" i="1" l="1"/>
  <c r="I11" i="1"/>
  <c r="I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<sst xmlns="http://schemas.openxmlformats.org/spreadsheetml/2006/main" count="407" uniqueCount="328">
  <si>
    <t>Project</t>
  </si>
  <si>
    <t>Analyst</t>
  </si>
  <si>
    <t>Justin Chae</t>
  </si>
  <si>
    <t>Today's Date</t>
  </si>
  <si>
    <t>Asset Liquidation</t>
  </si>
  <si>
    <t>Target</t>
  </si>
  <si>
    <t xml:space="preserve">Jawbone </t>
  </si>
  <si>
    <t xml:space="preserve">Event </t>
  </si>
  <si>
    <t>Scope</t>
  </si>
  <si>
    <t>Task</t>
  </si>
  <si>
    <t>Project Blue</t>
  </si>
  <si>
    <t>Valuation Analysis</t>
  </si>
  <si>
    <t>Project Close</t>
  </si>
  <si>
    <t>Copyright Portfolio</t>
  </si>
  <si>
    <t>Patent Portfolio</t>
  </si>
  <si>
    <t>*package deal only</t>
  </si>
  <si>
    <t xml:space="preserve">Total </t>
  </si>
  <si>
    <t>Product Launch</t>
  </si>
  <si>
    <t>US Patents &amp; Copyrights</t>
  </si>
  <si>
    <t>Income Approach</t>
  </si>
  <si>
    <t>Cost Approach</t>
  </si>
  <si>
    <t>Copyright</t>
  </si>
  <si>
    <t>Patent</t>
  </si>
  <si>
    <t>X</t>
  </si>
  <si>
    <t>Valuation Methodology</t>
  </si>
  <si>
    <t>Type</t>
  </si>
  <si>
    <t>Patents are valid and infringed</t>
  </si>
  <si>
    <t>Relief from Royalty</t>
  </si>
  <si>
    <t>Top Competitors: Apple &amp; Google</t>
  </si>
  <si>
    <t>Income Approach Value (Patents) == NPV of future Royalties that EarGear would have paid to competitors</t>
  </si>
  <si>
    <t>Project Blue will be profitable in all time periods; avoided royalty results in reduced taxable income</t>
  </si>
  <si>
    <t>EarGear's Forecasts are inclusive of asset-class specific risk</t>
  </si>
  <si>
    <t>Source/Object Code</t>
  </si>
  <si>
    <t>Expiry/EoL</t>
  </si>
  <si>
    <t>Development required to produce new app/code with copyrights</t>
  </si>
  <si>
    <t>New App development will create greater market penetration</t>
  </si>
  <si>
    <t>Copyright analysis includes purchased rights and new rights developed in the future</t>
  </si>
  <si>
    <t>Metric</t>
  </si>
  <si>
    <t>Global Revenue</t>
  </si>
  <si>
    <t>US Revenue</t>
  </si>
  <si>
    <t>US ASP</t>
  </si>
  <si>
    <t>US Units</t>
  </si>
  <si>
    <t>Market Penetration</t>
  </si>
  <si>
    <t>Fisher-Pry</t>
  </si>
  <si>
    <t>Input</t>
  </si>
  <si>
    <t>With App</t>
  </si>
  <si>
    <t>Without App</t>
  </si>
  <si>
    <t>Adoption Rate</t>
  </si>
  <si>
    <t>Maximum Adoption</t>
  </si>
  <si>
    <t>Time to 50% of Max (years)</t>
  </si>
  <si>
    <t>Product leader: Apple AirPod</t>
  </si>
  <si>
    <t>Licensor</t>
  </si>
  <si>
    <t>Licensee</t>
  </si>
  <si>
    <t>Patented Technology</t>
  </si>
  <si>
    <t>Year</t>
  </si>
  <si>
    <t>Royalty</t>
  </si>
  <si>
    <t>Google</t>
  </si>
  <si>
    <t>Apple</t>
  </si>
  <si>
    <t>Speaker technology to improve bass reproduction in wireless headsets</t>
  </si>
  <si>
    <t>1.5% of revenue</t>
  </si>
  <si>
    <t>FitBit</t>
  </si>
  <si>
    <t>Jawbone</t>
  </si>
  <si>
    <t>Design technology for superior ergonomics in wireless headset earpieces and earpads</t>
  </si>
  <si>
    <t>2.0% of revenue</t>
  </si>
  <si>
    <t>Jaybird</t>
  </si>
  <si>
    <t>Bose</t>
  </si>
  <si>
    <t>User interface technology for applications accompanying wireless headsets</t>
  </si>
  <si>
    <t>$6 per unit</t>
  </si>
  <si>
    <t>Sony</t>
  </si>
  <si>
    <t>Jabra</t>
  </si>
  <si>
    <t>Power management technology to extend the battery life of wireless headsets</t>
  </si>
  <si>
    <t>2.5% of revenue</t>
  </si>
  <si>
    <t>Jaybird ASP in 2018: $100</t>
  </si>
  <si>
    <t>Bose ASP in 2018: $300</t>
  </si>
  <si>
    <t>App development time: 6 months from project launch</t>
  </si>
  <si>
    <t>Component</t>
  </si>
  <si>
    <t>Description</t>
  </si>
  <si>
    <t>Labor</t>
  </si>
  <si>
    <r>
      <t>15 software engineers working 150 hours per month at a fully loaded</t>
    </r>
    <r>
      <rPr>
        <vertAlign val="superscript"/>
        <sz val="11"/>
        <color theme="1"/>
        <rFont val="Helvetica"/>
        <family val="2"/>
      </rPr>
      <t>7</t>
    </r>
    <r>
      <rPr>
        <sz val="11"/>
        <color theme="1"/>
        <rFont val="Helvetica"/>
        <family val="2"/>
      </rPr>
      <t xml:space="preserve"> hourly rate of $200/hour</t>
    </r>
  </si>
  <si>
    <t>Office Space</t>
  </si>
  <si>
    <t>One 1,500 square foot commercial unit which EarGear presently leases for $10,000/month</t>
  </si>
  <si>
    <t>Allocated Overhead</t>
  </si>
  <si>
    <t>$200,000/month</t>
  </si>
  <si>
    <t>Value</t>
  </si>
  <si>
    <t>Calc Value</t>
  </si>
  <si>
    <t>Timing</t>
  </si>
  <si>
    <t>Manufacturing Costs</t>
  </si>
  <si>
    <t>90% of revenue</t>
  </si>
  <si>
    <t>January 1, 2020 – December 31, 2024</t>
  </si>
  <si>
    <t>Subject Assets Purchase</t>
  </si>
  <si>
    <t>Integration of Subject Assets</t>
  </si>
  <si>
    <t>Headset Spec and Manufacturing Contract</t>
  </si>
  <si>
    <t>June 30 2019</t>
  </si>
  <si>
    <t>EarGear IRR Hurdle: 25%</t>
  </si>
  <si>
    <t>Assumptions and Key Considerations</t>
  </si>
  <si>
    <t>EarGear Tax Rate</t>
  </si>
  <si>
    <t>EarGear WACC</t>
  </si>
  <si>
    <t>EarGear Hurdle Rate</t>
  </si>
  <si>
    <t>a.i</t>
  </si>
  <si>
    <t>a.ii</t>
  </si>
  <si>
    <t>a.iii</t>
  </si>
  <si>
    <t>Written Report</t>
  </si>
  <si>
    <t>a.iv</t>
  </si>
  <si>
    <t>b.i</t>
  </si>
  <si>
    <t>Justification</t>
  </si>
  <si>
    <t>b.ii</t>
  </si>
  <si>
    <t>June 30 – 
December 31 2019</t>
  </si>
  <si>
    <t>January 1, 2020 +</t>
  </si>
  <si>
    <r>
      <t xml:space="preserve">Initial Offer Terms </t>
    </r>
    <r>
      <rPr>
        <sz val="12"/>
        <color theme="1"/>
        <rFont val="Calibri"/>
        <family val="2"/>
        <scheme val="minor"/>
      </rPr>
      <t>(Millions)</t>
    </r>
  </si>
  <si>
    <t>Monthly Expense</t>
  </si>
  <si>
    <t>Application Replication</t>
  </si>
  <si>
    <t>Overhead</t>
  </si>
  <si>
    <t>Table 5</t>
  </si>
  <si>
    <t>Project Blue Costs</t>
  </si>
  <si>
    <t>Cost Approach Inputs</t>
  </si>
  <si>
    <t>Table 4</t>
  </si>
  <si>
    <t>Table 3</t>
  </si>
  <si>
    <t>Historical Royalty Rates for Bluetooth Wireless Headsets</t>
  </si>
  <si>
    <t>Table 2</t>
  </si>
  <si>
    <t>Market Penetration (Fisher-Pry) Inputs</t>
  </si>
  <si>
    <t>Table 1</t>
  </si>
  <si>
    <t>US Bluetooh Wireless Headphone Market, Revenue, ASP, and Shipments (Millions)</t>
  </si>
  <si>
    <t>Acquisition Costs</t>
  </si>
  <si>
    <t>Operations &amp; Maintenance</t>
  </si>
  <si>
    <t>Revenue Inputs - US</t>
  </si>
  <si>
    <t>Revenue Estimates - EarGear (Without App)</t>
  </si>
  <si>
    <t>Revenue Estimates - EarGear (With App)</t>
  </si>
  <si>
    <t>Fisher-Pry (time) value</t>
  </si>
  <si>
    <t>Tax</t>
  </si>
  <si>
    <t>Income Before Tax</t>
  </si>
  <si>
    <t>Income After Tax</t>
  </si>
  <si>
    <t>Income  and Royalty Estimates - EarGear (With App)</t>
  </si>
  <si>
    <t>Sales Revenue</t>
  </si>
  <si>
    <t>Net Present Value of Royalties</t>
  </si>
  <si>
    <t>Net Present Value of Application</t>
  </si>
  <si>
    <t>EarGear Units</t>
  </si>
  <si>
    <t>See Report</t>
  </si>
  <si>
    <t>Royalty as a Percentage</t>
  </si>
  <si>
    <t>Royalty on a Per Unit Basis</t>
  </si>
  <si>
    <t>NPV Royalty Percentage Basis (With App)</t>
  </si>
  <si>
    <t>NPV Royalty Percentage Basis (Without App)</t>
  </si>
  <si>
    <t>NPV Royalty Per Unit Basis (With App)</t>
  </si>
  <si>
    <t>NPV Royalty Per Unit Basis (Without App)</t>
  </si>
  <si>
    <t>Table 6</t>
  </si>
  <si>
    <t>Other Inputs</t>
  </si>
  <si>
    <t>Average</t>
  </si>
  <si>
    <t>Average NPV of Both Royalty Methods</t>
  </si>
  <si>
    <t>Subject Asset Summary</t>
  </si>
  <si>
    <t>Worst Case</t>
  </si>
  <si>
    <t>Best Case</t>
  </si>
  <si>
    <t>Nominal Case</t>
  </si>
  <si>
    <t>Internal Rate of Return</t>
  </si>
  <si>
    <t>Hurdle Rate</t>
  </si>
  <si>
    <t>Subject Asset Valuation Range Estimates</t>
  </si>
  <si>
    <t>Income  and Royalty Estimates - EarGear (Without App)</t>
  </si>
  <si>
    <t>IRR</t>
  </si>
  <si>
    <t>Project Recommendation</t>
  </si>
  <si>
    <t>Asset Recommendation</t>
  </si>
  <si>
    <t>Income After Tax (Royalty Percentage basis)</t>
  </si>
  <si>
    <t>Income After Tax (Per Unit Royalty basis)</t>
  </si>
  <si>
    <t>Cash Flows - Income After Tax With App</t>
  </si>
  <si>
    <t>Estimated Royalty Rate</t>
  </si>
  <si>
    <t>Do Not Proceed</t>
  </si>
  <si>
    <t>App development cost: straight line w/mid point; obsolescence and inflation ignored</t>
  </si>
  <si>
    <t>Amount/Description</t>
  </si>
  <si>
    <t>Reference</t>
  </si>
  <si>
    <t>Category</t>
  </si>
  <si>
    <t>Max Adoption as Percentage of US Revenues</t>
  </si>
  <si>
    <t>Market Penetration % Based on Fisher-Pry</t>
  </si>
  <si>
    <t>Income Approach: Delta With App - Without App</t>
  </si>
  <si>
    <t>Cost Approach: Application Replication</t>
  </si>
  <si>
    <t>NPV Application Income</t>
  </si>
  <si>
    <t>NPV Application Cost</t>
  </si>
  <si>
    <t>Line</t>
  </si>
  <si>
    <t>1.0</t>
  </si>
  <si>
    <t>1.1</t>
  </si>
  <si>
    <t>1.2</t>
  </si>
  <si>
    <t>1.3</t>
  </si>
  <si>
    <t>2.0</t>
  </si>
  <si>
    <t>2.1</t>
  </si>
  <si>
    <t>2.2</t>
  </si>
  <si>
    <t>2.3</t>
  </si>
  <si>
    <t>3.0</t>
  </si>
  <si>
    <t>3.1</t>
  </si>
  <si>
    <t>3.2</t>
  </si>
  <si>
    <t>3.3</t>
  </si>
  <si>
    <t>4.0</t>
  </si>
  <si>
    <t>4.1</t>
  </si>
  <si>
    <t>4.2</t>
  </si>
  <si>
    <t>4.3</t>
  </si>
  <si>
    <t>5.0</t>
  </si>
  <si>
    <t>5.1</t>
  </si>
  <si>
    <t>5.2</t>
  </si>
  <si>
    <t>5.3</t>
  </si>
  <si>
    <t>5.4</t>
  </si>
  <si>
    <t>6.0</t>
  </si>
  <si>
    <t>6.1</t>
  </si>
  <si>
    <t>6.2</t>
  </si>
  <si>
    <t>6.3</t>
  </si>
  <si>
    <t>6.4</t>
  </si>
  <si>
    <t>7.0</t>
  </si>
  <si>
    <t>7.1</t>
  </si>
  <si>
    <t>7.2</t>
  </si>
  <si>
    <t>7.3</t>
  </si>
  <si>
    <t>7.4</t>
  </si>
  <si>
    <t>7.5</t>
  </si>
  <si>
    <t>7.6</t>
  </si>
  <si>
    <t>7.7</t>
  </si>
  <si>
    <t>8.0</t>
  </si>
  <si>
    <t>8.1</t>
  </si>
  <si>
    <t>8.2</t>
  </si>
  <si>
    <t>8.3</t>
  </si>
  <si>
    <t>8.4</t>
  </si>
  <si>
    <t>8.5</t>
  </si>
  <si>
    <t>8.6</t>
  </si>
  <si>
    <t>8.7</t>
  </si>
  <si>
    <t>9.0</t>
  </si>
  <si>
    <t>9.1</t>
  </si>
  <si>
    <t>9.2</t>
  </si>
  <si>
    <t>9.3</t>
  </si>
  <si>
    <t>9.4</t>
  </si>
  <si>
    <t>9.5</t>
  </si>
  <si>
    <t>9.6</t>
  </si>
  <si>
    <t>9.7</t>
  </si>
  <si>
    <t>10.0</t>
  </si>
  <si>
    <t>10.1</t>
  </si>
  <si>
    <t>10.2</t>
  </si>
  <si>
    <t>10.3</t>
  </si>
  <si>
    <t>10.4</t>
  </si>
  <si>
    <t>11.0</t>
  </si>
  <si>
    <t>11.1</t>
  </si>
  <si>
    <t>11.2</t>
  </si>
  <si>
    <t>Time</t>
  </si>
  <si>
    <t xml:space="preserve">Subject Asset Value </t>
  </si>
  <si>
    <t>Project Blue IRR</t>
  </si>
  <si>
    <t>Annual Allocated Overhead</t>
  </si>
  <si>
    <t>W/O App</t>
  </si>
  <si>
    <t>Project Blue Revenues</t>
  </si>
  <si>
    <t>Project Blue Market Penetration</t>
  </si>
  <si>
    <t>EarGear Max Adoption</t>
  </si>
  <si>
    <t>YoY Change 
US Revenue</t>
  </si>
  <si>
    <t>Patents</t>
  </si>
  <si>
    <t>Copyrights</t>
  </si>
  <si>
    <r>
      <t xml:space="preserve">Valuation Summary </t>
    </r>
    <r>
      <rPr>
        <sz val="12"/>
        <color theme="1"/>
        <rFont val="Calibri"/>
        <family val="2"/>
        <scheme val="minor"/>
      </rPr>
      <t>(Millions)</t>
    </r>
  </si>
  <si>
    <t>Do Not Purchase*</t>
  </si>
  <si>
    <t>*Purchase is worthwhile, aside from Project IRR</t>
  </si>
  <si>
    <t>Patent Valuation</t>
  </si>
  <si>
    <t>Copyright Valuation</t>
  </si>
  <si>
    <t>TimeTo50</t>
  </si>
  <si>
    <t>Slow</t>
  </si>
  <si>
    <t>Fast</t>
  </si>
  <si>
    <t>Medium</t>
  </si>
  <si>
    <t>Inverse</t>
  </si>
  <si>
    <t>Discount Rate</t>
  </si>
  <si>
    <t>Rent</t>
  </si>
  <si>
    <t>Living</t>
  </si>
  <si>
    <t>Job</t>
  </si>
  <si>
    <t>Assumptions</t>
  </si>
  <si>
    <t>average living cost at least 1,000 https://transferwise.com/us/blog/cost-of-living-in-the-usa</t>
  </si>
  <si>
    <t>average salary increase per year is 2.9% https://www.mercer.us/our-thinking/career/2019-united-states-compensation-planning-survey-key-findings.html</t>
  </si>
  <si>
    <t>Average Salary Increase</t>
  </si>
  <si>
    <t>average mba salary out of school is 85k https://www.mbaonlinecolleges.com/mba-guides/mba-salary-expectations/</t>
  </si>
  <si>
    <t>assume working a job, earning 10k per year</t>
  </si>
  <si>
    <t>assume 1.9% annual cost increases for rent and living https://www.bls.gov/charts/consumer-price-index/consumer-price-index-by-category.htm#</t>
  </si>
  <si>
    <t>Cost of Living Increase</t>
  </si>
  <si>
    <t>Rent Expense</t>
  </si>
  <si>
    <t>Living Expense</t>
  </si>
  <si>
    <t>effecrive tax is 10%, 22%, then 24% https://www.kiplinger.com/article/taxes/T056-C000-S001-what-are-the-income-tax-brackets-for-2020-vs-2019.html</t>
  </si>
  <si>
    <t>Scholarships</t>
  </si>
  <si>
    <t>Scholarship Y1</t>
  </si>
  <si>
    <t>Scholarship Y2</t>
  </si>
  <si>
    <t>Fed Loan Payment 1</t>
  </si>
  <si>
    <t>Fed Loan Payment 2</t>
  </si>
  <si>
    <t>Fed Loan 1</t>
  </si>
  <si>
    <t>Fed Loan 2</t>
  </si>
  <si>
    <t>Federal Loan 1</t>
  </si>
  <si>
    <t>Federal Loan 2</t>
  </si>
  <si>
    <t>fed student loan</t>
  </si>
  <si>
    <t>Loan Calculator</t>
  </si>
  <si>
    <t xml:space="preserve">Loan Balance: </t>
  </si>
  <si>
    <t xml:space="preserve">Adjusted Loan Balance: </t>
  </si>
  <si>
    <t xml:space="preserve">Loan Interest Rate: </t>
  </si>
  <si>
    <t xml:space="preserve">Loan Fees: </t>
  </si>
  <si>
    <t xml:space="preserve">Loan Term: </t>
  </si>
  <si>
    <t>10 years</t>
  </si>
  <si>
    <t xml:space="preserve">Minimum Payment: </t>
  </si>
  <si>
    <t>Enrollment Status:</t>
  </si>
  <si>
    <t>Still in School</t>
  </si>
  <si>
    <t>Degree Program:</t>
  </si>
  <si>
    <t>Master's Degree</t>
  </si>
  <si>
    <t>Total Years in College:</t>
  </si>
  <si>
    <t>2 years</t>
  </si>
  <si>
    <t>Average Debt per Year:</t>
  </si>
  <si>
    <t>Monthly Loan Payment:</t>
  </si>
  <si>
    <t xml:space="preserve">Number of Payments: </t>
  </si>
  <si>
    <t xml:space="preserve">Cumulative Payments: </t>
  </si>
  <si>
    <t xml:space="preserve">Total Interest Paid: </t>
  </si>
  <si>
    <t>Private Loan</t>
  </si>
  <si>
    <t>Private Loan 1</t>
  </si>
  <si>
    <t>Private Loan 2</t>
  </si>
  <si>
    <t>Private Loan Payment 1</t>
  </si>
  <si>
    <t>Private Loan Payment 2</t>
  </si>
  <si>
    <t>Net Income Option 1</t>
  </si>
  <si>
    <t>Net Income Option 2</t>
  </si>
  <si>
    <t>Time Period</t>
  </si>
  <si>
    <t>Tuition B Y1</t>
  </si>
  <si>
    <t>Tuition B Y2</t>
  </si>
  <si>
    <t>Tuition C Y1</t>
  </si>
  <si>
    <t>Tuition C Y2</t>
  </si>
  <si>
    <t>Net Income Option 3</t>
  </si>
  <si>
    <t>Tuition B</t>
  </si>
  <si>
    <t>Tuition C</t>
  </si>
  <si>
    <t>Salary After School (B)</t>
  </si>
  <si>
    <t>Salary After School (C)</t>
  </si>
  <si>
    <t>NPV 1</t>
  </si>
  <si>
    <t>NPV 2</t>
  </si>
  <si>
    <t>NPV 3</t>
  </si>
  <si>
    <t>Annual Fed Loan Cost 
(@ 4.53% for 10 years)</t>
  </si>
  <si>
    <t>Annual Private Loan Cost (@ 5.8% for 10 years)</t>
  </si>
  <si>
    <t>Straight to Job Market</t>
  </si>
  <si>
    <t>Expensive College</t>
  </si>
  <si>
    <t>Affordable College</t>
  </si>
  <si>
    <t>the most expensive affordable option is 10K https://www.onlineu.org/most-affordable-colleges/masters-degrees</t>
  </si>
  <si>
    <t>Salary During School</t>
  </si>
  <si>
    <t>Salary W/O School (A)</t>
  </si>
  <si>
    <t>School Start</t>
  </si>
  <si>
    <t>4.53 % for fed loan with 12.58% paid each year except last year</t>
  </si>
  <si>
    <t>5.8% for private loan with 13.34% paid each year with exception of last year https://www.nerdwallet.com/blog/loans/student-loans/student-loan-interest-rates/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</si>
</sst>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3" formatCode="_(* #,##0.00_);_(* \(#,##0.00\);_(* &quot;-&quot;??_);_(@_)"/>
    <numFmt numFmtId="164" formatCode="&quot;$&quot;#,##0"/>
    <numFmt numFmtId="165" formatCode="0.0"/>
    <numFmt numFmtId="166" formatCode="0.0%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vertAlign val="superscript"/>
      <sz val="11"/>
      <color theme="1"/>
      <name val="Helvetica"/>
      <family val="2"/>
    </font>
    <font>
      <sz val="10"/>
      <name val="Arial"/>
      <family val="2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33669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7717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4">
    <xf numFmtId="0" fontId="0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2" fillId="0" borderId="0" xfId="0" applyFont="1" applyAlignment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5" fontId="0" fillId="0" borderId="1" xfId="0" applyNumberFormat="1" applyBorder="1"/>
    <xf numFmtId="0" fontId="0" fillId="0" borderId="1" xfId="0" quotePrefix="1" applyBorder="1"/>
    <xf numFmtId="0" fontId="1" fillId="0" borderId="1" xfId="0" applyFont="1" applyBorder="1" applyAlignment="1">
      <alignment horizontal="right"/>
    </xf>
    <xf numFmtId="15" fontId="0" fillId="0" borderId="1" xfId="0" applyNumberFormat="1" applyBorder="1"/>
    <xf numFmtId="0" fontId="0" fillId="0" borderId="1" xfId="0" applyFont="1" applyBorder="1" applyAlignment="1">
      <alignment horizontal="center" vertical="center"/>
    </xf>
    <xf numFmtId="15" fontId="0" fillId="0" borderId="1" xfId="0" applyNumberFormat="1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8" fontId="0" fillId="0" borderId="0" xfId="0" applyNumberFormat="1"/>
    <xf numFmtId="38" fontId="0" fillId="0" borderId="0" xfId="0" applyNumberFormat="1"/>
    <xf numFmtId="5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166" fontId="0" fillId="0" borderId="0" xfId="0" applyNumberFormat="1" applyFont="1" applyAlignment="1">
      <alignment horizontal="center"/>
    </xf>
    <xf numFmtId="37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5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10" fontId="0" fillId="0" borderId="0" xfId="0" applyNumberFormat="1" applyAlignment="1">
      <alignment horizontal="center" vertical="center"/>
    </xf>
    <xf numFmtId="0" fontId="1" fillId="0" borderId="0" xfId="0" applyFont="1" applyBorder="1" applyAlignment="1"/>
    <xf numFmtId="0" fontId="0" fillId="0" borderId="6" xfId="0" applyBorder="1" applyAlignment="1">
      <alignment horizontal="center"/>
    </xf>
    <xf numFmtId="5" fontId="1" fillId="2" borderId="8" xfId="0" applyNumberFormat="1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/>
    </xf>
    <xf numFmtId="5" fontId="0" fillId="4" borderId="0" xfId="0" applyNumberFormat="1" applyFill="1"/>
    <xf numFmtId="5" fontId="0" fillId="5" borderId="0" xfId="0" applyNumberFormat="1" applyFill="1"/>
    <xf numFmtId="0" fontId="0" fillId="5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5" fontId="0" fillId="0" borderId="0" xfId="0" applyNumberFormat="1" applyFill="1"/>
    <xf numFmtId="5" fontId="0" fillId="6" borderId="0" xfId="0" applyNumberFormat="1" applyFill="1"/>
    <xf numFmtId="0" fontId="0" fillId="6" borderId="0" xfId="0" applyFill="1"/>
    <xf numFmtId="0" fontId="0" fillId="0" borderId="9" xfId="0" applyBorder="1"/>
    <xf numFmtId="0" fontId="0" fillId="0" borderId="11" xfId="0" applyFill="1" applyBorder="1"/>
    <xf numFmtId="5" fontId="0" fillId="6" borderId="12" xfId="0" applyNumberFormat="1" applyFill="1" applyBorder="1"/>
    <xf numFmtId="5" fontId="0" fillId="6" borderId="13" xfId="0" applyNumberFormat="1" applyFill="1" applyBorder="1"/>
    <xf numFmtId="5" fontId="0" fillId="7" borderId="11" xfId="0" applyNumberFormat="1" applyFill="1" applyBorder="1"/>
    <xf numFmtId="0" fontId="0" fillId="6" borderId="10" xfId="0" applyFill="1" applyBorder="1"/>
    <xf numFmtId="0" fontId="0" fillId="0" borderId="14" xfId="0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/>
    <xf numFmtId="0" fontId="0" fillId="0" borderId="20" xfId="0" applyBorder="1"/>
    <xf numFmtId="0" fontId="1" fillId="0" borderId="21" xfId="0" applyFont="1" applyBorder="1" applyAlignment="1">
      <alignment horizontal="right"/>
    </xf>
    <xf numFmtId="0" fontId="0" fillId="0" borderId="22" xfId="0" applyBorder="1"/>
    <xf numFmtId="0" fontId="1" fillId="0" borderId="21" xfId="0" quotePrefix="1" applyFont="1" applyBorder="1"/>
    <xf numFmtId="0" fontId="1" fillId="2" borderId="19" xfId="0" applyFont="1" applyFill="1" applyBorder="1" applyAlignment="1">
      <alignment horizontal="center"/>
    </xf>
    <xf numFmtId="0" fontId="0" fillId="0" borderId="23" xfId="0" applyBorder="1"/>
    <xf numFmtId="0" fontId="1" fillId="0" borderId="24" xfId="0" applyFont="1" applyBorder="1" applyAlignment="1"/>
    <xf numFmtId="0" fontId="1" fillId="0" borderId="23" xfId="0" applyFont="1" applyBorder="1" applyAlignment="1"/>
    <xf numFmtId="0" fontId="1" fillId="2" borderId="19" xfId="0" applyFont="1" applyFill="1" applyBorder="1"/>
    <xf numFmtId="0" fontId="1" fillId="0" borderId="25" xfId="0" applyFont="1" applyBorder="1"/>
    <xf numFmtId="0" fontId="0" fillId="0" borderId="26" xfId="0" applyBorder="1" applyAlignment="1">
      <alignment horizontal="center" vertical="center" wrapText="1"/>
    </xf>
    <xf numFmtId="0" fontId="0" fillId="0" borderId="27" xfId="0" applyBorder="1"/>
    <xf numFmtId="9" fontId="0" fillId="0" borderId="0" xfId="0" applyNumberFormat="1"/>
    <xf numFmtId="15" fontId="1" fillId="2" borderId="28" xfId="0" applyNumberFormat="1" applyFont="1" applyFill="1" applyBorder="1" applyAlignment="1">
      <alignment horizontal="center" vertical="center"/>
    </xf>
    <xf numFmtId="10" fontId="0" fillId="0" borderId="7" xfId="0" applyNumberFormat="1" applyBorder="1"/>
    <xf numFmtId="10" fontId="0" fillId="0" borderId="15" xfId="0" applyNumberFormat="1" applyBorder="1"/>
    <xf numFmtId="14" fontId="3" fillId="3" borderId="29" xfId="0" applyNumberFormat="1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/>
    <xf numFmtId="5" fontId="3" fillId="7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5" fontId="2" fillId="0" borderId="0" xfId="0" applyNumberFormat="1" applyFont="1" applyBorder="1" applyAlignment="1">
      <alignment horizontal="right"/>
    </xf>
    <xf numFmtId="5" fontId="0" fillId="0" borderId="0" xfId="0" applyNumberFormat="1" applyBorder="1" applyAlignment="1"/>
    <xf numFmtId="5" fontId="0" fillId="0" borderId="0" xfId="0" applyNumberFormat="1" applyBorder="1"/>
    <xf numFmtId="6" fontId="0" fillId="0" borderId="0" xfId="0" applyNumberFormat="1" applyBorder="1"/>
    <xf numFmtId="3" fontId="0" fillId="0" borderId="0" xfId="0" applyNumberFormat="1" applyBorder="1"/>
    <xf numFmtId="165" fontId="7" fillId="0" borderId="0" xfId="0" applyNumberFormat="1" applyFont="1" applyAlignment="1">
      <alignment horizontal="right"/>
    </xf>
    <xf numFmtId="14" fontId="3" fillId="8" borderId="29" xfId="0" applyNumberFormat="1" applyFont="1" applyFill="1" applyBorder="1" applyAlignment="1">
      <alignment horizontal="center" vertical="center"/>
    </xf>
    <xf numFmtId="165" fontId="0" fillId="8" borderId="0" xfId="0" applyNumberFormat="1" applyFill="1"/>
    <xf numFmtId="5" fontId="0" fillId="8" borderId="0" xfId="0" applyNumberFormat="1" applyFill="1"/>
    <xf numFmtId="10" fontId="0" fillId="8" borderId="0" xfId="0" applyNumberFormat="1" applyFill="1"/>
    <xf numFmtId="14" fontId="3" fillId="9" borderId="29" xfId="0" applyNumberFormat="1" applyFont="1" applyFill="1" applyBorder="1" applyAlignment="1">
      <alignment horizontal="center" vertical="center"/>
    </xf>
    <xf numFmtId="0" fontId="0" fillId="9" borderId="0" xfId="0" applyFill="1"/>
    <xf numFmtId="5" fontId="0" fillId="9" borderId="0" xfId="0" applyNumberFormat="1" applyFill="1" applyBorder="1"/>
    <xf numFmtId="3" fontId="0" fillId="9" borderId="0" xfId="0" applyNumberFormat="1" applyFill="1" applyBorder="1"/>
    <xf numFmtId="5" fontId="0" fillId="9" borderId="0" xfId="0" applyNumberFormat="1" applyFill="1"/>
    <xf numFmtId="10" fontId="0" fillId="9" borderId="0" xfId="0" applyNumberFormat="1" applyFill="1"/>
    <xf numFmtId="37" fontId="0" fillId="9" borderId="0" xfId="0" applyNumberFormat="1" applyFill="1"/>
    <xf numFmtId="0" fontId="0" fillId="0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" fontId="0" fillId="8" borderId="0" xfId="0" applyNumberFormat="1" applyFill="1" applyBorder="1"/>
    <xf numFmtId="7" fontId="0" fillId="0" borderId="1" xfId="0" applyNumberFormat="1" applyBorder="1"/>
    <xf numFmtId="7" fontId="0" fillId="0" borderId="2" xfId="0" applyNumberFormat="1" applyBorder="1"/>
    <xf numFmtId="7" fontId="0" fillId="0" borderId="0" xfId="0" applyNumberFormat="1"/>
    <xf numFmtId="5" fontId="1" fillId="0" borderId="0" xfId="0" applyNumberFormat="1" applyFont="1"/>
    <xf numFmtId="0" fontId="8" fillId="0" borderId="0" xfId="0" applyFont="1"/>
    <xf numFmtId="0" fontId="7" fillId="0" borderId="24" xfId="0" applyFont="1" applyFill="1" applyBorder="1"/>
    <xf numFmtId="7" fontId="0" fillId="0" borderId="32" xfId="0" applyNumberFormat="1" applyBorder="1"/>
    <xf numFmtId="7" fontId="0" fillId="0" borderId="31" xfId="0" applyNumberFormat="1" applyBorder="1"/>
    <xf numFmtId="0" fontId="0" fillId="0" borderId="33" xfId="0" applyBorder="1"/>
    <xf numFmtId="0" fontId="0" fillId="0" borderId="34" xfId="0" applyBorder="1"/>
    <xf numFmtId="5" fontId="0" fillId="0" borderId="35" xfId="0" applyNumberFormat="1" applyBorder="1"/>
    <xf numFmtId="0" fontId="0" fillId="0" borderId="33" xfId="0" applyBorder="1" applyAlignment="1">
      <alignment horizontal="righ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5" fontId="2" fillId="0" borderId="0" xfId="0" applyNumberFormat="1" applyFont="1" applyBorder="1" applyAlignment="1">
      <alignment horizontal="center"/>
    </xf>
    <xf numFmtId="5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/>
    </xf>
    <xf numFmtId="166" fontId="0" fillId="0" borderId="0" xfId="0" applyNumberFormat="1"/>
    <xf numFmtId="166" fontId="0" fillId="0" borderId="0" xfId="0" applyNumberFormat="1" applyAlignment="1">
      <alignment horizontal="right"/>
    </xf>
    <xf numFmtId="42" fontId="0" fillId="0" borderId="0" xfId="0" applyNumberFormat="1" applyAlignment="1">
      <alignment horizontal="center" vertical="center"/>
    </xf>
    <xf numFmtId="42" fontId="0" fillId="0" borderId="0" xfId="0" applyNumberFormat="1"/>
    <xf numFmtId="164" fontId="0" fillId="0" borderId="0" xfId="0" applyNumberFormat="1"/>
    <xf numFmtId="0" fontId="9" fillId="0" borderId="0" xfId="0" applyFont="1"/>
    <xf numFmtId="0" fontId="10" fillId="0" borderId="0" xfId="0" applyFont="1"/>
    <xf numFmtId="8" fontId="10" fillId="0" borderId="0" xfId="0" applyNumberFormat="1" applyFont="1"/>
    <xf numFmtId="10" fontId="10" fillId="0" borderId="0" xfId="0" applyNumberFormat="1" applyFont="1"/>
    <xf numFmtId="0" fontId="11" fillId="0" borderId="0" xfId="0" applyFont="1"/>
    <xf numFmtId="8" fontId="11" fillId="0" borderId="0" xfId="0" applyNumberFormat="1" applyFont="1"/>
    <xf numFmtId="0" fontId="0" fillId="0" borderId="0" xfId="0"/>
    <xf numFmtId="0" fontId="0" fillId="0" borderId="0" xfId="0" applyAlignment="1"/>
    <xf numFmtId="15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/>
    <xf numFmtId="0" fontId="1" fillId="0" borderId="0" xfId="0" applyFont="1" applyBorder="1"/>
    <xf numFmtId="16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0" borderId="0" xfId="0" applyNumberFormat="1" applyBorder="1" applyAlignment="1">
      <alignment horizontal="center" vertical="center"/>
    </xf>
  </cellXfs>
  <cellStyles count="4">
    <cellStyle name="Millares 2" xfId="2" xr:uid="{207DAF41-F094-8B4C-A12D-BFF91F6C1C1B}"/>
    <cellStyle name="Normal" xfId="0" builtinId="0"/>
    <cellStyle name="Normal 2" xfId="1" xr:uid="{8BA4E1F8-68EF-5744-8FB3-18A0B81E596B}"/>
    <cellStyle name="Porcentual 2" xfId="3" xr:uid="{541A19C0-23B3-A047-9187-FE174DA1B065}"/>
  </cellStyles>
  <dxfs count="0"/>
  <tableStyles count="0" defaultTableStyle="TableStyleMedium2" defaultPivotStyle="PivotStyleLight16"/>
  <colors>
    <mruColors>
      <color rgb="FFF771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 B - Project Blue Market Penetration</a:t>
            </a:r>
          </a:p>
          <a:p>
            <a:pPr>
              <a:defRPr/>
            </a:pPr>
            <a:r>
              <a:rPr lang="en-US"/>
              <a:t>Fisher-Pry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Calculations!$G$81</c:f>
              <c:strCache>
                <c:ptCount val="1"/>
                <c:pt idx="0">
                  <c:v>With App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Calculations!$G$22:$AA$22</c:f>
              <c:numCache>
                <c:formatCode>0.00%</c:formatCode>
                <c:ptCount val="21"/>
                <c:pt idx="0">
                  <c:v>0.14804719803168948</c:v>
                </c:pt>
                <c:pt idx="1">
                  <c:v>0.18242552380635635</c:v>
                </c:pt>
                <c:pt idx="2">
                  <c:v>0.2689414213699951</c:v>
                </c:pt>
                <c:pt idx="3">
                  <c:v>0.37754066879814541</c:v>
                </c:pt>
                <c:pt idx="4">
                  <c:v>0.5</c:v>
                </c:pt>
                <c:pt idx="5">
                  <c:v>0.62245933120185459</c:v>
                </c:pt>
                <c:pt idx="6">
                  <c:v>0.7310585786300049</c:v>
                </c:pt>
                <c:pt idx="7">
                  <c:v>0.81757447619364365</c:v>
                </c:pt>
                <c:pt idx="8">
                  <c:v>0.88079707797788231</c:v>
                </c:pt>
                <c:pt idx="9">
                  <c:v>0.92414181997875655</c:v>
                </c:pt>
                <c:pt idx="10">
                  <c:v>0.95257412682243336</c:v>
                </c:pt>
                <c:pt idx="11">
                  <c:v>0.97068776924864364</c:v>
                </c:pt>
                <c:pt idx="12">
                  <c:v>0.98201379003790845</c:v>
                </c:pt>
                <c:pt idx="13">
                  <c:v>0.98901305736940681</c:v>
                </c:pt>
                <c:pt idx="14">
                  <c:v>0.99330714907571527</c:v>
                </c:pt>
                <c:pt idx="15">
                  <c:v>0.99592986228410396</c:v>
                </c:pt>
                <c:pt idx="16">
                  <c:v>0.99752737684336534</c:v>
                </c:pt>
                <c:pt idx="17">
                  <c:v>0.99849881774326299</c:v>
                </c:pt>
                <c:pt idx="18">
                  <c:v>0.9990889488055994</c:v>
                </c:pt>
                <c:pt idx="19">
                  <c:v>0.9994472213630764</c:v>
                </c:pt>
                <c:pt idx="20">
                  <c:v>0.99966464986953363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4F-604F-AD3A-BDFBD8D4DBC3}"/>
            </c:ext>
          </c:extLst>
        </c:ser>
        <c:ser>
          <c:idx val="1"/>
          <c:order val="1"/>
          <c:tx>
            <c:strRef>
              <c:f>Calculations!$H$81</c:f>
              <c:strCache>
                <c:ptCount val="1"/>
                <c:pt idx="0">
                  <c:v>W/O App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Calculations!$G$29:$AA$29</c:f>
              <c:numCache>
                <c:formatCode>0.00%</c:formatCode>
                <c:ptCount val="21"/>
                <c:pt idx="0">
                  <c:v>0.14185106490048777</c:v>
                </c:pt>
                <c:pt idx="1">
                  <c:v>0.17150476997540087</c:v>
                </c:pt>
                <c:pt idx="2">
                  <c:v>0.24508501313237172</c:v>
                </c:pt>
                <c:pt idx="3">
                  <c:v>0.33737816282991745</c:v>
                </c:pt>
                <c:pt idx="4">
                  <c:v>0.44398610945538003</c:v>
                </c:pt>
                <c:pt idx="5">
                  <c:v>0.55601389054461992</c:v>
                </c:pt>
                <c:pt idx="6">
                  <c:v>0.66262183717008249</c:v>
                </c:pt>
                <c:pt idx="7">
                  <c:v>0.75491498686762826</c:v>
                </c:pt>
                <c:pt idx="8">
                  <c:v>0.82849523002459913</c:v>
                </c:pt>
                <c:pt idx="9">
                  <c:v>0.88339703083886056</c:v>
                </c:pt>
                <c:pt idx="10">
                  <c:v>0.9223705374435115</c:v>
                </c:pt>
                <c:pt idx="11">
                  <c:v>0.94906852974705647</c:v>
                </c:pt>
                <c:pt idx="12">
                  <c:v>0.9669140216112958</c:v>
                </c:pt>
                <c:pt idx="13">
                  <c:v>0.9786474438389795</c:v>
                </c:pt>
                <c:pt idx="14">
                  <c:v>0.98627884071748106</c:v>
                </c:pt>
                <c:pt idx="15">
                  <c:v>0.99120728376032508</c:v>
                </c:pt>
                <c:pt idx="16">
                  <c:v>0.99437559593544766</c:v>
                </c:pt>
                <c:pt idx="17">
                  <c:v>0.99640639741857984</c:v>
                </c:pt>
                <c:pt idx="18">
                  <c:v>0.9977056300529733</c:v>
                </c:pt>
                <c:pt idx="19">
                  <c:v>0.99853582779669325</c:v>
                </c:pt>
                <c:pt idx="20">
                  <c:v>0.9990659069781429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4F-604F-AD3A-BDFBD8D4DBC3}"/>
            </c:ext>
          </c:extLst>
        </c:ser>
        <c:ser>
          <c:idx val="2"/>
          <c:order val="2"/>
          <c:tx>
            <c:strRef>
              <c:f>Calculations!$M$81</c:f>
              <c:strCache>
                <c:ptCount val="1"/>
                <c:pt idx="0">
                  <c:v>YoY Change 
US Revenue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Calculations!$M$82:$M$87</c:f>
              <c:numCache>
                <c:formatCode>0.00%</c:formatCode>
                <c:ptCount val="6"/>
                <c:pt idx="0">
                  <c:v>0.16666666666666666</c:v>
                </c:pt>
                <c:pt idx="1">
                  <c:v>0.19996341017197219</c:v>
                </c:pt>
                <c:pt idx="2">
                  <c:v>0.19987803018752859</c:v>
                </c:pt>
                <c:pt idx="3">
                  <c:v>0.2</c:v>
                </c:pt>
                <c:pt idx="4">
                  <c:v>0.20002117746717493</c:v>
                </c:pt>
                <c:pt idx="5">
                  <c:v>0.20003529515573987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4F-604F-AD3A-BDFBD8D4D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444272"/>
        <c:axId val="1459646224"/>
      </c:lineChart>
      <c:catAx>
        <c:axId val="936444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6224"/>
        <c:crosses val="autoZero"/>
        <c:auto val="1"/>
        <c:lblAlgn val="ctr"/>
        <c:lblOffset val="100"/>
        <c:noMultiLvlLbl val="0"/>
      </c:catAx>
      <c:valAx>
        <c:axId val="14596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44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 C - Project Blue Revenue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Calculations!$G$81</c:f>
              <c:strCache>
                <c:ptCount val="1"/>
                <c:pt idx="0">
                  <c:v>With App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Calculations!$D$82:$E$87</c:f>
              <c:multiLvlStrCache>
                <c:ptCount val="6"/>
                <c:lvl>
                  <c:pt idx="0">
                    <c:v>6/30/20</c:v>
                  </c:pt>
                  <c:pt idx="1">
                    <c:v>6/30/21</c:v>
                  </c:pt>
                  <c:pt idx="2">
                    <c:v>6/30/22</c:v>
                  </c:pt>
                  <c:pt idx="3">
                    <c:v>6/30/23</c:v>
                  </c:pt>
                  <c:pt idx="4">
                    <c:v>6/30/24</c:v>
                  </c:pt>
                  <c:pt idx="5">
                    <c:v>6/30/25</c:v>
                  </c:pt>
                </c:lvl>
                <c:lvl>
                  <c:pt idx="0">
                    <c:v>0.5</c:v>
                  </c:pt>
                  <c:pt idx="1">
                    <c:v>1.5</c:v>
                  </c:pt>
                  <c:pt idx="2">
                    <c:v>2.5</c:v>
                  </c:pt>
                  <c:pt idx="3">
                    <c:v>3.5</c:v>
                  </c:pt>
                  <c:pt idx="4">
                    <c:v>4.5</c:v>
                  </c:pt>
                  <c:pt idx="5">
                    <c:v>5.5</c:v>
                  </c:pt>
                </c:lvl>
              </c:multiLvlStrCache>
            </c:multiLvlStrRef>
          </c:cat>
          <c:val>
            <c:numRef>
              <c:f>Calculations!$G$82:$G$87</c:f>
              <c:numCache>
                <c:formatCode>"$"#,##0_);\("$"#,##0\)</c:formatCode>
                <c:ptCount val="6"/>
                <c:pt idx="0">
                  <c:v>119652901.06458913</c:v>
                </c:pt>
                <c:pt idx="1">
                  <c:v>211656898.61818615</c:v>
                </c:pt>
                <c:pt idx="2">
                  <c:v>356549407.6129685</c:v>
                </c:pt>
                <c:pt idx="3">
                  <c:v>566650000</c:v>
                </c:pt>
                <c:pt idx="4">
                  <c:v>846544690.43452227</c:v>
                </c:pt>
                <c:pt idx="5">
                  <c:v>1193087600.324168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F-6445-B0B5-AE5C6D82E005}"/>
            </c:ext>
          </c:extLst>
        </c:ser>
        <c:ser>
          <c:idx val="1"/>
          <c:order val="1"/>
          <c:tx>
            <c:strRef>
              <c:f>Calculations!$H$81</c:f>
              <c:strCache>
                <c:ptCount val="1"/>
                <c:pt idx="0">
                  <c:v>W/O App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Calculations!$D$82:$E$87</c:f>
              <c:multiLvlStrCache>
                <c:ptCount val="6"/>
                <c:lvl>
                  <c:pt idx="0">
                    <c:v>6/30/20</c:v>
                  </c:pt>
                  <c:pt idx="1">
                    <c:v>6/30/21</c:v>
                  </c:pt>
                  <c:pt idx="2">
                    <c:v>6/30/22</c:v>
                  </c:pt>
                  <c:pt idx="3">
                    <c:v>6/30/23</c:v>
                  </c:pt>
                  <c:pt idx="4">
                    <c:v>6/30/24</c:v>
                  </c:pt>
                  <c:pt idx="5">
                    <c:v>6/30/25</c:v>
                  </c:pt>
                </c:lvl>
                <c:lvl>
                  <c:pt idx="0">
                    <c:v>0.5</c:v>
                  </c:pt>
                  <c:pt idx="1">
                    <c:v>1.5</c:v>
                  </c:pt>
                  <c:pt idx="2">
                    <c:v>2.5</c:v>
                  </c:pt>
                  <c:pt idx="3">
                    <c:v>3.5</c:v>
                  </c:pt>
                  <c:pt idx="4">
                    <c:v>4.5</c:v>
                  </c:pt>
                  <c:pt idx="5">
                    <c:v>5.5</c:v>
                  </c:pt>
                </c:lvl>
              </c:multiLvlStrCache>
            </c:multiLvlStrRef>
          </c:cat>
          <c:val>
            <c:numRef>
              <c:f>Calculations!$H$82:$H$87</c:f>
              <c:numCache>
                <c:formatCode>"$"#,##0_);\("$"#,##0\)</c:formatCode>
                <c:ptCount val="6"/>
                <c:pt idx="0">
                  <c:v>112489978.62686543</c:v>
                </c:pt>
                <c:pt idx="1">
                  <c:v>192881905.33517653</c:v>
                </c:pt>
                <c:pt idx="2">
                  <c:v>318619936.97657406</c:v>
                </c:pt>
                <c:pt idx="3">
                  <c:v>503169457.84578216</c:v>
                </c:pt>
                <c:pt idx="4">
                  <c:v>756178891.14068305</c:v>
                </c:pt>
                <c:pt idx="5">
                  <c:v>1081398838.2615747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F-6445-B0B5-AE5C6D82E005}"/>
            </c:ext>
          </c:extLst>
        </c:ser>
        <c:ser>
          <c:idx val="2"/>
          <c:order val="2"/>
          <c:tx>
            <c:strRef>
              <c:f>Calculations!$F$81</c:f>
              <c:strCache>
                <c:ptCount val="1"/>
                <c:pt idx="0">
                  <c:v>EarGear Max Adoption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Calculations!$D$82:$E$87</c:f>
              <c:multiLvlStrCache>
                <c:ptCount val="6"/>
                <c:lvl>
                  <c:pt idx="0">
                    <c:v>6/30/20</c:v>
                  </c:pt>
                  <c:pt idx="1">
                    <c:v>6/30/21</c:v>
                  </c:pt>
                  <c:pt idx="2">
                    <c:v>6/30/22</c:v>
                  </c:pt>
                  <c:pt idx="3">
                    <c:v>6/30/23</c:v>
                  </c:pt>
                  <c:pt idx="4">
                    <c:v>6/30/24</c:v>
                  </c:pt>
                  <c:pt idx="5">
                    <c:v>6/30/25</c:v>
                  </c:pt>
                </c:lvl>
                <c:lvl>
                  <c:pt idx="0">
                    <c:v>0.5</c:v>
                  </c:pt>
                  <c:pt idx="1">
                    <c:v>1.5</c:v>
                  </c:pt>
                  <c:pt idx="2">
                    <c:v>2.5</c:v>
                  </c:pt>
                  <c:pt idx="3">
                    <c:v>3.5</c:v>
                  </c:pt>
                  <c:pt idx="4">
                    <c:v>4.5</c:v>
                  </c:pt>
                  <c:pt idx="5">
                    <c:v>5.5</c:v>
                  </c:pt>
                </c:lvl>
              </c:multiLvlStrCache>
            </c:multiLvlStrRef>
          </c:cat>
          <c:val>
            <c:numRef>
              <c:f>Calculations!$F$82:$F$87</c:f>
              <c:numCache>
                <c:formatCode>"$"#,##0_);\("$"#,##0\)</c:formatCode>
                <c:ptCount val="6"/>
                <c:pt idx="0">
                  <c:v>655900000</c:v>
                </c:pt>
                <c:pt idx="1">
                  <c:v>787000000</c:v>
                </c:pt>
                <c:pt idx="2">
                  <c:v>944400000</c:v>
                </c:pt>
                <c:pt idx="3">
                  <c:v>1133300000</c:v>
                </c:pt>
                <c:pt idx="4">
                  <c:v>1360000000</c:v>
                </c:pt>
                <c:pt idx="5">
                  <c:v>1632000000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F-6445-B0B5-AE5C6D82E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243856"/>
        <c:axId val="1381933872"/>
      </c:lineChart>
      <c:catAx>
        <c:axId val="14332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33872"/>
        <c:crosses val="autoZero"/>
        <c:auto val="1"/>
        <c:lblAlgn val="ctr"/>
        <c:lblOffset val="100"/>
        <c:noMultiLvlLbl val="0"/>
      </c:catAx>
      <c:valAx>
        <c:axId val="13819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 A - Bluetooth Market Revenues</a:t>
            </a:r>
          </a:p>
          <a:p>
            <a:pPr>
              <a:defRPr/>
            </a:pPr>
            <a:r>
              <a:rPr lang="en-US"/>
              <a:t>Global |</a:t>
            </a:r>
            <a:r>
              <a:rPr lang="en-US" baseline="0"/>
              <a:t> US | EarGear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Calculations!$K$81</c:f>
              <c:strCache>
                <c:ptCount val="1"/>
                <c:pt idx="0">
                  <c:v>US Revenue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f>Calculations!$D$82:$E$87</c:f>
              <c:multiLvlStrCache>
                <c:ptCount val="6"/>
                <c:lvl>
                  <c:pt idx="0">
                    <c:v>6/30/20</c:v>
                  </c:pt>
                  <c:pt idx="1">
                    <c:v>6/30/21</c:v>
                  </c:pt>
                  <c:pt idx="2">
                    <c:v>6/30/22</c:v>
                  </c:pt>
                  <c:pt idx="3">
                    <c:v>6/30/23</c:v>
                  </c:pt>
                  <c:pt idx="4">
                    <c:v>6/30/24</c:v>
                  </c:pt>
                  <c:pt idx="5">
                    <c:v>6/30/25</c:v>
                  </c:pt>
                </c:lvl>
                <c:lvl>
                  <c:pt idx="0">
                    <c:v>0.5</c:v>
                  </c:pt>
                  <c:pt idx="1">
                    <c:v>1.5</c:v>
                  </c:pt>
                  <c:pt idx="2">
                    <c:v>2.5</c:v>
                  </c:pt>
                  <c:pt idx="3">
                    <c:v>3.5</c:v>
                  </c:pt>
                  <c:pt idx="4">
                    <c:v>4.5</c:v>
                  </c:pt>
                  <c:pt idx="5">
                    <c:v>5.5</c:v>
                  </c:pt>
                </c:lvl>
              </c:multiLvlStrCache>
            </c:multiLvlStrRef>
          </c:cat>
          <c:val>
            <c:numRef>
              <c:f>Calculations!$K$82:$K$87</c:f>
              <c:numCache>
                <c:formatCode>"$"#,##0_);\("$"#,##0\)</c:formatCode>
                <c:ptCount val="6"/>
                <c:pt idx="0">
                  <c:v>5466000000</c:v>
                </c:pt>
                <c:pt idx="1">
                  <c:v>6559000000</c:v>
                </c:pt>
                <c:pt idx="2">
                  <c:v>7870000000</c:v>
                </c:pt>
                <c:pt idx="3">
                  <c:v>9444000000</c:v>
                </c:pt>
                <c:pt idx="4">
                  <c:v>11333000000</c:v>
                </c:pt>
                <c:pt idx="5">
                  <c:v>13600000000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4-EA44-8DA9-4309E4EBB95D}"/>
            </c:ext>
          </c:extLst>
        </c:ser>
        <c:ser>
          <c:idx val="1"/>
          <c:order val="1"/>
          <c:tx>
            <c:strRef>
              <c:f>Calculations!$L$81</c:f>
              <c:strCache>
                <c:ptCount val="1"/>
                <c:pt idx="0">
                  <c:v>Global Revenue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Calculations!$D$82:$E$87</c:f>
              <c:multiLvlStrCache>
                <c:ptCount val="6"/>
                <c:lvl>
                  <c:pt idx="0">
                    <c:v>6/30/20</c:v>
                  </c:pt>
                  <c:pt idx="1">
                    <c:v>6/30/21</c:v>
                  </c:pt>
                  <c:pt idx="2">
                    <c:v>6/30/22</c:v>
                  </c:pt>
                  <c:pt idx="3">
                    <c:v>6/30/23</c:v>
                  </c:pt>
                  <c:pt idx="4">
                    <c:v>6/30/24</c:v>
                  </c:pt>
                  <c:pt idx="5">
                    <c:v>6/30/25</c:v>
                  </c:pt>
                </c:lvl>
                <c:lvl>
                  <c:pt idx="0">
                    <c:v>0.5</c:v>
                  </c:pt>
                  <c:pt idx="1">
                    <c:v>1.5</c:v>
                  </c:pt>
                  <c:pt idx="2">
                    <c:v>2.5</c:v>
                  </c:pt>
                  <c:pt idx="3">
                    <c:v>3.5</c:v>
                  </c:pt>
                  <c:pt idx="4">
                    <c:v>4.5</c:v>
                  </c:pt>
                  <c:pt idx="5">
                    <c:v>5.5</c:v>
                  </c:pt>
                </c:lvl>
              </c:multiLvlStrCache>
            </c:multiLvlStrRef>
          </c:cat>
          <c:val>
            <c:numRef>
              <c:f>Calculations!$L$82:$L$87</c:f>
              <c:numCache>
                <c:formatCode>"$"#,##0_);\("$"#,##0\)</c:formatCode>
                <c:ptCount val="6"/>
                <c:pt idx="0">
                  <c:v>13664000000</c:v>
                </c:pt>
                <c:pt idx="1">
                  <c:v>16397000000</c:v>
                </c:pt>
                <c:pt idx="2">
                  <c:v>19676000000</c:v>
                </c:pt>
                <c:pt idx="3">
                  <c:v>23611000000</c:v>
                </c:pt>
                <c:pt idx="4">
                  <c:v>28333000000</c:v>
                </c:pt>
                <c:pt idx="5">
                  <c:v>34000000000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4-EA44-8DA9-4309E4EBB95D}"/>
            </c:ext>
          </c:extLst>
        </c:ser>
        <c:ser>
          <c:idx val="2"/>
          <c:order val="2"/>
          <c:tx>
            <c:strRef>
              <c:f>Calculations!$F$81</c:f>
              <c:strCache>
                <c:ptCount val="1"/>
                <c:pt idx="0">
                  <c:v>EarGear Max Adoption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Calculations!$D$82:$E$87</c:f>
              <c:multiLvlStrCache>
                <c:ptCount val="6"/>
                <c:lvl>
                  <c:pt idx="0">
                    <c:v>6/30/20</c:v>
                  </c:pt>
                  <c:pt idx="1">
                    <c:v>6/30/21</c:v>
                  </c:pt>
                  <c:pt idx="2">
                    <c:v>6/30/22</c:v>
                  </c:pt>
                  <c:pt idx="3">
                    <c:v>6/30/23</c:v>
                  </c:pt>
                  <c:pt idx="4">
                    <c:v>6/30/24</c:v>
                  </c:pt>
                  <c:pt idx="5">
                    <c:v>6/30/25</c:v>
                  </c:pt>
                </c:lvl>
                <c:lvl>
                  <c:pt idx="0">
                    <c:v>0.5</c:v>
                  </c:pt>
                  <c:pt idx="1">
                    <c:v>1.5</c:v>
                  </c:pt>
                  <c:pt idx="2">
                    <c:v>2.5</c:v>
                  </c:pt>
                  <c:pt idx="3">
                    <c:v>3.5</c:v>
                  </c:pt>
                  <c:pt idx="4">
                    <c:v>4.5</c:v>
                  </c:pt>
                  <c:pt idx="5">
                    <c:v>5.5</c:v>
                  </c:pt>
                </c:lvl>
              </c:multiLvlStrCache>
            </c:multiLvlStrRef>
          </c:cat>
          <c:val>
            <c:numRef>
              <c:f>Calculations!$F$82:$F$87</c:f>
              <c:numCache>
                <c:formatCode>"$"#,##0_);\("$"#,##0\)</c:formatCode>
                <c:ptCount val="6"/>
                <c:pt idx="0">
                  <c:v>655900000</c:v>
                </c:pt>
                <c:pt idx="1">
                  <c:v>787000000</c:v>
                </c:pt>
                <c:pt idx="2">
                  <c:v>944400000</c:v>
                </c:pt>
                <c:pt idx="3">
                  <c:v>1133300000</c:v>
                </c:pt>
                <c:pt idx="4">
                  <c:v>1360000000</c:v>
                </c:pt>
                <c:pt idx="5">
                  <c:v>1632000000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C4-EA44-8DA9-4309E4EBB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5517968"/>
        <c:axId val="973994656"/>
      </c:barChart>
      <c:catAx>
        <c:axId val="142551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994656"/>
        <c:crosses val="autoZero"/>
        <c:auto val="1"/>
        <c:lblAlgn val="ctr"/>
        <c:lblOffset val="100"/>
        <c:noMultiLvlLbl val="0"/>
      </c:catAx>
      <c:valAx>
        <c:axId val="9739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51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Fisher-Pry</a:t>
            </a:r>
            <a:r>
              <a:rPr lang="en-US" baseline="0"/>
              <a:t> Market Penetration Rates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FisherPryBasic!$C$8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FisherPryBasic!$D$8:$N$8</c:f>
              <c:numCache>
                <c:formatCode>0.00%</c:formatCode>
                <c:ptCount val="11"/>
                <c:pt idx="0">
                  <c:v>0.18242552380635635</c:v>
                </c:pt>
                <c:pt idx="1">
                  <c:v>0.2689414213699951</c:v>
                </c:pt>
                <c:pt idx="2">
                  <c:v>0.37754066879814541</c:v>
                </c:pt>
                <c:pt idx="3">
                  <c:v>0.5</c:v>
                </c:pt>
                <c:pt idx="4">
                  <c:v>0.62245933120185459</c:v>
                </c:pt>
                <c:pt idx="5">
                  <c:v>0.7310585786300049</c:v>
                </c:pt>
                <c:pt idx="6">
                  <c:v>0.81757447619364365</c:v>
                </c:pt>
                <c:pt idx="7">
                  <c:v>0.88079707797788231</c:v>
                </c:pt>
                <c:pt idx="8">
                  <c:v>0.92414181997875655</c:v>
                </c:pt>
                <c:pt idx="9">
                  <c:v>0.95257412682243336</c:v>
                </c:pt>
                <c:pt idx="10">
                  <c:v>0.97068776924864364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0-A34C-9D86-78625A1E0AF4}"/>
            </c:ext>
          </c:extLst>
        </c:ser>
        <c:ser>
          <c:idx val="1"/>
          <c:order val="1"/>
          <c:tx>
            <c:strRef>
              <c:f>FisherPryBasic!$C$9</c:f>
              <c:strCache>
                <c:ptCount val="1"/>
                <c:pt idx="0">
                  <c:v>Inverse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15875">
                <a:solidFill>
                  <a:schemeClr val="accent2"/>
                </a:solidFill>
              </a:ln>
              <a:effectLst/>
            </c:spPr>
          </c:marker>
          <c:val>
            <c:numRef>
              <c:f>FisherPryBasic!$D$9:$N$9</c:f>
              <c:numCache>
                <c:formatCode>0.00%</c:formatCode>
                <c:ptCount val="11"/>
                <c:pt idx="0">
                  <c:v>0.95257412682243336</c:v>
                </c:pt>
                <c:pt idx="1">
                  <c:v>0.88079707797788231</c:v>
                </c:pt>
                <c:pt idx="2">
                  <c:v>0.7310585786300049</c:v>
                </c:pt>
                <c:pt idx="3">
                  <c:v>0.5</c:v>
                </c:pt>
                <c:pt idx="4">
                  <c:v>0.2689414213699951</c:v>
                </c:pt>
                <c:pt idx="5">
                  <c:v>0.11920292202211755</c:v>
                </c:pt>
                <c:pt idx="6">
                  <c:v>4.7425873177566781E-2</c:v>
                </c:pt>
                <c:pt idx="7">
                  <c:v>1.7986209962091559E-2</c:v>
                </c:pt>
                <c:pt idx="8">
                  <c:v>6.6928509242848554E-3</c:v>
                </c:pt>
                <c:pt idx="9">
                  <c:v>2.4726231566347743E-3</c:v>
                </c:pt>
                <c:pt idx="10">
                  <c:v>9.1105119440064539E-4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C0-A34C-9D86-78625A1E0AF4}"/>
            </c:ext>
          </c:extLst>
        </c:ser>
        <c:ser>
          <c:idx val="2"/>
          <c:order val="2"/>
          <c:tx>
            <c:strRef>
              <c:f>FisherPryBasic!$C$10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square"/>
            <c:size val="8"/>
            <c:spPr>
              <a:noFill/>
              <a:ln w="19050">
                <a:solidFill>
                  <a:schemeClr val="accent3"/>
                </a:solidFill>
              </a:ln>
              <a:effectLst/>
            </c:spPr>
          </c:marker>
          <c:val>
            <c:numRef>
              <c:f>FisherPryBasic!$D$10:$N$10</c:f>
              <c:numCache>
                <c:formatCode>0.00%</c:formatCode>
                <c:ptCount val="11"/>
                <c:pt idx="0">
                  <c:v>4.7425873177566781E-2</c:v>
                </c:pt>
                <c:pt idx="1">
                  <c:v>0.11920292202211755</c:v>
                </c:pt>
                <c:pt idx="2">
                  <c:v>0.2689414213699951</c:v>
                </c:pt>
                <c:pt idx="3">
                  <c:v>0.5</c:v>
                </c:pt>
                <c:pt idx="4">
                  <c:v>0.7310585786300049</c:v>
                </c:pt>
                <c:pt idx="5">
                  <c:v>0.88079707797788231</c:v>
                </c:pt>
                <c:pt idx="6">
                  <c:v>0.95257412682243336</c:v>
                </c:pt>
                <c:pt idx="7">
                  <c:v>0.98201379003790845</c:v>
                </c:pt>
                <c:pt idx="8">
                  <c:v>0.99330714907571527</c:v>
                </c:pt>
                <c:pt idx="9">
                  <c:v>0.99752737684336534</c:v>
                </c:pt>
                <c:pt idx="10">
                  <c:v>0.9990889488055994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C0-A34C-9D86-78625A1E0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06656"/>
        <c:axId val="1025267456"/>
      </c:lineChart>
      <c:catAx>
        <c:axId val="102480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267456"/>
        <c:crosses val="autoZero"/>
        <c:auto val="1"/>
        <c:lblAlgn val="ctr"/>
        <c:lblOffset val="100"/>
        <c:noMultiLvlLbl val="0"/>
      </c:catAx>
      <c:valAx>
        <c:axId val="10252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80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89</xdr:row>
      <xdr:rowOff>15240</xdr:rowOff>
    </xdr:from>
    <xdr:to>
      <xdr:col>5</xdr:col>
      <xdr:colOff>558800</xdr:colOff>
      <xdr:row>106</xdr:row>
      <xdr:rowOff>193040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03306F8-3E06-5C48-B7BB-0FFE31106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</xdr:colOff>
      <xdr:row>89</xdr:row>
      <xdr:rowOff>5080</xdr:rowOff>
    </xdr:from>
    <xdr:to>
      <xdr:col>10</xdr:col>
      <xdr:colOff>1178560</xdr:colOff>
      <xdr:row>106</xdr:row>
      <xdr:rowOff>182880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C6A0C1C-A6ED-8D47-A263-E6572719F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5080</xdr:colOff>
      <xdr:row>108</xdr:row>
      <xdr:rowOff>5080</xdr:rowOff>
    </xdr:from>
    <xdr:to>
      <xdr:col>10</xdr:col>
      <xdr:colOff>1178560</xdr:colOff>
      <xdr:row>126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A53DB3A-B5CA-0F45-9822-4B58108ED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520700</xdr:colOff>
      <xdr:row>16</xdr:row>
      <xdr:rowOff>127000</xdr:rowOff>
    </xdr:from>
    <xdr:to>
      <xdr:col>13</xdr:col>
      <xdr:colOff>317500</xdr:colOff>
      <xdr:row>34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4ADC98-4081-FB45-9B8A-4DC4A122A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AD24-1B8F-694E-9CA7-44D631686460}">
  <dimension ref="A1:J43"/>
  <sheetViews>
    <sheetView zoomScale="108" zoomScaleNormal="108" workbookViewId="0">
      <selection activeCell="F26" sqref="F26"/>
    </sheetView>
  </sheetViews>
  <sheetFormatPr baseColWidth="10" defaultRowHeight="16"/>
  <cols>
    <col min="1" max="1" width="16.83203125" bestFit="1" customWidth="1"/>
    <col min="2" max="2" width="21.1640625" bestFit="1" customWidth="1"/>
    <col min="4" max="4" width="22.6640625" bestFit="1" customWidth="1"/>
    <col min="5" max="5" width="24.33203125" bestFit="1" customWidth="1"/>
    <col min="8" max="8" width="12.33203125" bestFit="1" customWidth="1"/>
    <col min="9" max="9" width="12.5" bestFit="1" customWidth="1"/>
    <col min="10" max="10" width="12.33203125" bestFit="1" customWidth="1"/>
  </cols>
  <sheetData>
    <row r="1" spans="1:10">
      <c r="A1" s="17" t="s">
        <v>0</v>
      </c>
      <c r="B1" s="14" t="s">
        <v>10</v>
      </c>
      <c r="D1" s="137" t="s">
        <v>147</v>
      </c>
      <c r="E1" s="137"/>
      <c r="F1" s="137"/>
    </row>
    <row r="2" spans="1:10">
      <c r="A2" s="17" t="s">
        <v>9</v>
      </c>
      <c r="B2" s="14" t="s">
        <v>11</v>
      </c>
      <c r="D2" s="18" t="s">
        <v>25</v>
      </c>
      <c r="E2" s="18" t="s">
        <v>164</v>
      </c>
      <c r="F2" s="18" t="s">
        <v>33</v>
      </c>
    </row>
    <row r="3" spans="1:10">
      <c r="A3" s="17" t="s">
        <v>1</v>
      </c>
      <c r="B3" s="14" t="s">
        <v>2</v>
      </c>
      <c r="D3" s="25" t="s">
        <v>22</v>
      </c>
      <c r="E3" s="25">
        <v>20</v>
      </c>
      <c r="F3" s="26">
        <v>45657</v>
      </c>
    </row>
    <row r="4" spans="1:10">
      <c r="A4" s="17" t="s">
        <v>3</v>
      </c>
      <c r="B4" s="24">
        <v>43588</v>
      </c>
      <c r="D4" s="25" t="s">
        <v>21</v>
      </c>
      <c r="E4" s="27" t="s">
        <v>32</v>
      </c>
      <c r="F4" s="26">
        <v>45657</v>
      </c>
    </row>
    <row r="5" spans="1:10">
      <c r="A5" s="1"/>
      <c r="D5" s="1"/>
    </row>
    <row r="6" spans="1:10">
      <c r="A6" s="17" t="s">
        <v>5</v>
      </c>
      <c r="B6" s="14" t="s">
        <v>6</v>
      </c>
      <c r="D6" s="40" t="s">
        <v>161</v>
      </c>
      <c r="E6" s="40" t="s">
        <v>97</v>
      </c>
    </row>
    <row r="7" spans="1:10">
      <c r="A7" s="17" t="s">
        <v>7</v>
      </c>
      <c r="B7" s="14" t="s">
        <v>4</v>
      </c>
      <c r="D7" s="41">
        <f>Data!G29</f>
        <v>2.5000000000000001E-2</v>
      </c>
      <c r="E7" s="49">
        <f>Data!C58</f>
        <v>0.25</v>
      </c>
    </row>
    <row r="8" spans="1:10">
      <c r="A8" s="17" t="s">
        <v>8</v>
      </c>
      <c r="B8" s="14" t="s">
        <v>18</v>
      </c>
      <c r="D8" s="1"/>
    </row>
    <row r="9" spans="1:10" ht="17" thickBot="1">
      <c r="H9" s="138" t="s">
        <v>153</v>
      </c>
      <c r="I9" s="138"/>
      <c r="J9" s="138"/>
    </row>
    <row r="10" spans="1:10" ht="17" thickBot="1">
      <c r="A10" s="137" t="s">
        <v>108</v>
      </c>
      <c r="B10" s="137"/>
      <c r="D10" s="139" t="s">
        <v>243</v>
      </c>
      <c r="E10" s="140"/>
      <c r="F10" s="70" t="s">
        <v>9</v>
      </c>
      <c r="H10" s="47" t="s">
        <v>148</v>
      </c>
      <c r="I10" s="47" t="s">
        <v>150</v>
      </c>
      <c r="J10" s="47" t="s">
        <v>149</v>
      </c>
    </row>
    <row r="11" spans="1:10" ht="17" thickBot="1">
      <c r="A11" s="17" t="s">
        <v>14</v>
      </c>
      <c r="B11" s="124">
        <v>30</v>
      </c>
      <c r="D11" s="71" t="s">
        <v>241</v>
      </c>
      <c r="E11" s="131">
        <f>Calculations!F61/1000000</f>
        <v>38.521810604377137</v>
      </c>
      <c r="F11" s="72" t="s">
        <v>98</v>
      </c>
      <c r="H11" s="21">
        <f>Calculations!F59</f>
        <v>74675052.163998351</v>
      </c>
      <c r="I11" s="21">
        <f>Calculations!F61</f>
        <v>38521810.604377136</v>
      </c>
      <c r="J11" s="21">
        <f>Calculations!F55</f>
        <v>2368569.044755925</v>
      </c>
    </row>
    <row r="12" spans="1:10" ht="17" thickBot="1">
      <c r="A12" s="17"/>
      <c r="B12" s="21"/>
      <c r="D12" s="71" t="s">
        <v>242</v>
      </c>
      <c r="E12" s="130">
        <f>Calculations!F66/1000000</f>
        <v>11.845224621869104</v>
      </c>
      <c r="F12" s="72" t="s">
        <v>99</v>
      </c>
      <c r="I12" s="21">
        <f>Calculations!F66</f>
        <v>11845224.621869104</v>
      </c>
    </row>
    <row r="13" spans="1:10">
      <c r="A13" s="17" t="s">
        <v>13</v>
      </c>
      <c r="B13" s="124">
        <v>5</v>
      </c>
      <c r="D13" s="73" t="s">
        <v>233</v>
      </c>
      <c r="E13" s="125">
        <f>SUM(E11:E12)</f>
        <v>50.367035226246244</v>
      </c>
      <c r="F13" s="74" t="s">
        <v>100</v>
      </c>
      <c r="H13" s="21">
        <f>SUM(I12,H11)</f>
        <v>86520276.785867453</v>
      </c>
      <c r="I13" s="21">
        <f>SUM(I11:I12)</f>
        <v>50367035.226246238</v>
      </c>
      <c r="J13" s="21">
        <f>SUM(I12,J11)</f>
        <v>14213793.666625028</v>
      </c>
    </row>
    <row r="14" spans="1:10" ht="17" thickBot="1">
      <c r="A14" s="22" t="s">
        <v>15</v>
      </c>
      <c r="B14" s="14"/>
      <c r="D14" s="75" t="s">
        <v>101</v>
      </c>
      <c r="E14" s="51" t="s">
        <v>136</v>
      </c>
      <c r="F14" s="74" t="s">
        <v>102</v>
      </c>
    </row>
    <row r="15" spans="1:10" ht="17" thickBot="1">
      <c r="A15" s="23" t="s">
        <v>16</v>
      </c>
      <c r="B15" s="124">
        <f>SUM(B11:B13)</f>
        <v>35</v>
      </c>
      <c r="D15" s="76" t="s">
        <v>157</v>
      </c>
      <c r="E15" s="52" t="s">
        <v>244</v>
      </c>
      <c r="F15" s="77"/>
    </row>
    <row r="16" spans="1:10" ht="17" thickBot="1">
      <c r="A16" s="14"/>
      <c r="B16" s="14"/>
      <c r="D16" s="78"/>
      <c r="E16" s="50"/>
      <c r="F16" s="79"/>
    </row>
    <row r="17" spans="1:10" ht="17" thickBot="1">
      <c r="A17" s="17" t="s">
        <v>12</v>
      </c>
      <c r="B17" s="24">
        <v>43646</v>
      </c>
      <c r="D17" s="71" t="s">
        <v>234</v>
      </c>
      <c r="E17" s="86">
        <f>Calculations!F73</f>
        <v>0.22810209393501285</v>
      </c>
      <c r="F17" s="72"/>
      <c r="H17" s="53"/>
      <c r="I17" s="53"/>
      <c r="J17" s="53"/>
    </row>
    <row r="18" spans="1:10" ht="17" thickBot="1">
      <c r="A18" s="17" t="s">
        <v>17</v>
      </c>
      <c r="B18" s="24">
        <v>43831</v>
      </c>
      <c r="D18" s="80" t="s">
        <v>156</v>
      </c>
      <c r="E18" s="85" t="s">
        <v>162</v>
      </c>
      <c r="F18" s="72" t="s">
        <v>103</v>
      </c>
      <c r="H18" s="127">
        <f>H13-J13</f>
        <v>72306483.11924243</v>
      </c>
      <c r="I18" s="1"/>
      <c r="J18" s="1"/>
    </row>
    <row r="19" spans="1:10" ht="18" thickBot="1">
      <c r="D19" s="81" t="s">
        <v>104</v>
      </c>
      <c r="E19" s="82" t="s">
        <v>152</v>
      </c>
      <c r="F19" s="83" t="s">
        <v>105</v>
      </c>
      <c r="H19" s="36"/>
      <c r="J19" s="36"/>
    </row>
    <row r="20" spans="1:10">
      <c r="D20" s="129" t="s">
        <v>245</v>
      </c>
      <c r="E20" s="128"/>
    </row>
    <row r="21" spans="1:10">
      <c r="H21" s="126">
        <f>E12-B13</f>
        <v>6.8452246218691037</v>
      </c>
    </row>
    <row r="22" spans="1:10">
      <c r="A22" s="137" t="s">
        <v>24</v>
      </c>
      <c r="B22" s="137"/>
      <c r="C22" s="137"/>
      <c r="D22" s="137"/>
    </row>
    <row r="23" spans="1:10">
      <c r="A23" s="14"/>
      <c r="B23" s="18" t="s">
        <v>21</v>
      </c>
      <c r="C23" s="18" t="s">
        <v>22</v>
      </c>
      <c r="D23" s="18" t="s">
        <v>42</v>
      </c>
      <c r="G23" s="126"/>
    </row>
    <row r="24" spans="1:10">
      <c r="A24" s="17" t="s">
        <v>19</v>
      </c>
      <c r="B24" s="20" t="s">
        <v>23</v>
      </c>
      <c r="C24" s="20" t="s">
        <v>23</v>
      </c>
      <c r="D24" s="14"/>
      <c r="G24" s="36"/>
    </row>
    <row r="25" spans="1:10">
      <c r="A25" s="17" t="s">
        <v>20</v>
      </c>
      <c r="B25" s="20" t="s">
        <v>23</v>
      </c>
      <c r="C25" s="20"/>
      <c r="D25" s="14"/>
    </row>
    <row r="26" spans="1:10">
      <c r="A26" s="17" t="s">
        <v>27</v>
      </c>
      <c r="B26" s="14"/>
      <c r="C26" s="20" t="s">
        <v>23</v>
      </c>
      <c r="D26" s="14"/>
    </row>
    <row r="27" spans="1:10">
      <c r="A27" s="17" t="s">
        <v>43</v>
      </c>
      <c r="B27" s="14"/>
      <c r="C27" s="14"/>
      <c r="D27" s="20" t="s">
        <v>23</v>
      </c>
    </row>
    <row r="29" spans="1:10">
      <c r="A29" s="138" t="s">
        <v>94</v>
      </c>
      <c r="B29" s="138"/>
      <c r="C29" s="138"/>
      <c r="D29" s="138"/>
      <c r="E29" s="138"/>
      <c r="F29" s="138"/>
    </row>
    <row r="30" spans="1:10">
      <c r="A30">
        <v>1</v>
      </c>
      <c r="B30" t="s">
        <v>26</v>
      </c>
    </row>
    <row r="31" spans="1:10">
      <c r="A31">
        <v>2</v>
      </c>
      <c r="B31" t="s">
        <v>28</v>
      </c>
    </row>
    <row r="32" spans="1:10">
      <c r="A32">
        <v>3</v>
      </c>
      <c r="B32" t="s">
        <v>29</v>
      </c>
    </row>
    <row r="33" spans="1:2">
      <c r="A33">
        <v>4</v>
      </c>
      <c r="B33" t="s">
        <v>30</v>
      </c>
    </row>
    <row r="34" spans="1:2">
      <c r="A34">
        <v>5</v>
      </c>
      <c r="B34" t="s">
        <v>31</v>
      </c>
    </row>
    <row r="35" spans="1:2">
      <c r="A35">
        <v>6</v>
      </c>
      <c r="B35" t="s">
        <v>34</v>
      </c>
    </row>
    <row r="36" spans="1:2">
      <c r="A36">
        <v>7</v>
      </c>
      <c r="B36" t="s">
        <v>35</v>
      </c>
    </row>
    <row r="37" spans="1:2">
      <c r="A37">
        <v>8</v>
      </c>
      <c r="B37" t="s">
        <v>36</v>
      </c>
    </row>
    <row r="38" spans="1:2">
      <c r="A38">
        <v>9</v>
      </c>
      <c r="B38" t="s">
        <v>50</v>
      </c>
    </row>
    <row r="39" spans="1:2">
      <c r="A39">
        <v>10</v>
      </c>
      <c r="B39" t="s">
        <v>72</v>
      </c>
    </row>
    <row r="40" spans="1:2">
      <c r="A40">
        <v>11</v>
      </c>
      <c r="B40" t="s">
        <v>73</v>
      </c>
    </row>
    <row r="41" spans="1:2">
      <c r="A41">
        <v>12</v>
      </c>
      <c r="B41" t="s">
        <v>74</v>
      </c>
    </row>
    <row r="42" spans="1:2">
      <c r="A42">
        <v>13</v>
      </c>
      <c r="B42" t="s">
        <v>163</v>
      </c>
    </row>
    <row r="43" spans="1:2">
      <c r="A43">
        <v>14</v>
      </c>
      <c r="B43" t="s">
        <v>93</v>
      </c>
    </row>
  </sheetData>
  <mergeCells count="6">
    <mergeCell ref="D1:F1"/>
    <mergeCell ref="A29:F29"/>
    <mergeCell ref="A22:D22"/>
    <mergeCell ref="H9:J9"/>
    <mergeCell ref="A10:B10"/>
    <mergeCell ref="D10:E10"/>
  </mergeCells>
  <pageMargins left="0.7" right="0.7" top="0.75" bottom="0.75" header="0.3" footer="0.3"/>
  <pageSetup scale="7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6EE2-4C0C-664E-9B0F-C1B301FD9758}">
  <dimension ref="A1:AA88"/>
  <sheetViews>
    <sheetView topLeftCell="B1" zoomScale="125" zoomScaleNormal="125" workbookViewId="0">
      <pane ySplit="1" topLeftCell="A43" activePane="bottomLeft" state="frozen"/>
      <selection pane="bottomLeft" activeCell="F57" sqref="F57"/>
    </sheetView>
  </sheetViews>
  <sheetFormatPr baseColWidth="10" defaultRowHeight="16"/>
  <cols>
    <col min="1" max="1" width="8" customWidth="1"/>
    <col min="4" max="4" width="41.6640625" bestFit="1" customWidth="1"/>
    <col min="5" max="5" width="15.83203125" customWidth="1"/>
    <col min="6" max="6" width="15" bestFit="1" customWidth="1"/>
    <col min="7" max="7" width="19.83203125" bestFit="1" customWidth="1"/>
    <col min="8" max="8" width="17.33203125" bestFit="1" customWidth="1"/>
    <col min="9" max="12" width="15.83203125" customWidth="1"/>
    <col min="13" max="13" width="18" style="116" bestFit="1" customWidth="1"/>
    <col min="14" max="14" width="16" style="116" bestFit="1" customWidth="1"/>
  </cols>
  <sheetData>
    <row r="1" spans="1:14">
      <c r="A1" s="89" t="s">
        <v>173</v>
      </c>
      <c r="B1" s="89" t="s">
        <v>166</v>
      </c>
      <c r="C1" s="89" t="s">
        <v>165</v>
      </c>
      <c r="D1" s="89" t="s">
        <v>76</v>
      </c>
      <c r="E1" s="88">
        <v>43281</v>
      </c>
      <c r="F1" s="88">
        <f>Summary!B4</f>
        <v>43588</v>
      </c>
      <c r="G1" s="88">
        <v>43646</v>
      </c>
      <c r="H1" s="88">
        <v>44012</v>
      </c>
      <c r="I1" s="88">
        <v>44377</v>
      </c>
      <c r="J1" s="88">
        <v>44742</v>
      </c>
      <c r="K1" s="88">
        <v>45107</v>
      </c>
      <c r="L1" s="88">
        <v>45473</v>
      </c>
      <c r="M1" s="109">
        <v>45838</v>
      </c>
      <c r="N1" s="109">
        <v>46203</v>
      </c>
    </row>
    <row r="2" spans="1:14">
      <c r="A2" s="96" t="s">
        <v>174</v>
      </c>
      <c r="B2" s="141" t="s">
        <v>122</v>
      </c>
      <c r="C2" s="141"/>
      <c r="D2" s="141"/>
      <c r="E2" s="50"/>
      <c r="F2" s="50"/>
      <c r="G2" s="97">
        <f>SUM(G3:G5)</f>
        <v>-65000000</v>
      </c>
      <c r="H2" s="142"/>
      <c r="I2" s="142"/>
      <c r="J2" s="142"/>
      <c r="K2" s="142"/>
      <c r="L2" s="142"/>
      <c r="M2" s="110"/>
      <c r="N2" s="110"/>
    </row>
    <row r="3" spans="1:14">
      <c r="A3" s="93" t="s">
        <v>175</v>
      </c>
      <c r="B3" s="31"/>
      <c r="C3" s="31" t="str">
        <f>Data!$B$42</f>
        <v>Table 5</v>
      </c>
      <c r="D3" s="98" t="str">
        <f>Data!B45</f>
        <v>Subject Assets Purchase</v>
      </c>
      <c r="E3" s="50"/>
      <c r="F3" s="50"/>
      <c r="G3" s="99">
        <f>-Data!E45</f>
        <v>-35000000</v>
      </c>
      <c r="H3" s="142"/>
      <c r="I3" s="142"/>
      <c r="J3" s="142"/>
      <c r="K3" s="142"/>
      <c r="L3" s="142"/>
      <c r="M3" s="110"/>
      <c r="N3" s="110"/>
    </row>
    <row r="4" spans="1:14">
      <c r="A4" s="93" t="s">
        <v>176</v>
      </c>
      <c r="B4" s="31"/>
      <c r="C4" s="31" t="str">
        <f>Data!$B$42</f>
        <v>Table 5</v>
      </c>
      <c r="D4" s="98" t="str">
        <f>Data!B46</f>
        <v>Integration of Subject Assets</v>
      </c>
      <c r="E4" s="50"/>
      <c r="F4" s="50"/>
      <c r="G4" s="99">
        <f>-Data!E46</f>
        <v>-20000000</v>
      </c>
      <c r="H4" s="142"/>
      <c r="I4" s="142"/>
      <c r="J4" s="142"/>
      <c r="K4" s="142"/>
      <c r="L4" s="142"/>
      <c r="M4" s="110"/>
      <c r="N4" s="110"/>
    </row>
    <row r="5" spans="1:14">
      <c r="A5" s="93" t="s">
        <v>177</v>
      </c>
      <c r="B5" s="31"/>
      <c r="C5" s="31" t="str">
        <f>Data!$B$42</f>
        <v>Table 5</v>
      </c>
      <c r="D5" s="98" t="str">
        <f>Data!B47</f>
        <v>Headset Spec and Manufacturing Contract</v>
      </c>
      <c r="E5" s="50"/>
      <c r="F5" s="50"/>
      <c r="G5" s="99">
        <f>-Data!E47</f>
        <v>-10000000</v>
      </c>
      <c r="H5" s="142"/>
      <c r="I5" s="142"/>
      <c r="J5" s="142"/>
      <c r="K5" s="142"/>
      <c r="L5" s="142"/>
      <c r="M5" s="110"/>
      <c r="N5" s="110"/>
    </row>
    <row r="6" spans="1:14">
      <c r="A6" s="96" t="s">
        <v>178</v>
      </c>
      <c r="B6" s="141" t="s">
        <v>110</v>
      </c>
      <c r="C6" s="141"/>
      <c r="D6" s="141"/>
      <c r="E6" s="50"/>
      <c r="F6" s="50"/>
      <c r="G6" s="97">
        <f>SUM(G7:G9)</f>
        <v>-1440000</v>
      </c>
      <c r="H6" s="143"/>
      <c r="I6" s="143"/>
      <c r="J6" s="143"/>
      <c r="K6" s="143"/>
      <c r="L6" s="143"/>
      <c r="M6" s="110"/>
      <c r="N6" s="110"/>
    </row>
    <row r="7" spans="1:14">
      <c r="A7" s="93" t="s">
        <v>179</v>
      </c>
      <c r="B7" s="31"/>
      <c r="C7" s="31" t="str">
        <f>Data!$B$33</f>
        <v>Table 4</v>
      </c>
      <c r="D7" s="98" t="s">
        <v>77</v>
      </c>
      <c r="E7" s="50"/>
      <c r="F7" s="50"/>
      <c r="G7" s="99">
        <f>-Data!$F36*6</f>
        <v>-180000</v>
      </c>
      <c r="H7" s="143"/>
      <c r="I7" s="143"/>
      <c r="J7" s="143"/>
      <c r="K7" s="143"/>
      <c r="L7" s="143"/>
      <c r="M7" s="110"/>
      <c r="N7" s="110"/>
    </row>
    <row r="8" spans="1:14">
      <c r="A8" s="93" t="s">
        <v>180</v>
      </c>
      <c r="B8" s="31"/>
      <c r="C8" s="31" t="str">
        <f>Data!$B$33</f>
        <v>Table 4</v>
      </c>
      <c r="D8" s="98" t="s">
        <v>79</v>
      </c>
      <c r="E8" s="50"/>
      <c r="F8" s="50"/>
      <c r="G8" s="99">
        <f>-Data!$F$37*6</f>
        <v>-60000</v>
      </c>
      <c r="H8" s="143"/>
      <c r="I8" s="143"/>
      <c r="J8" s="143"/>
      <c r="K8" s="143"/>
      <c r="L8" s="143"/>
      <c r="M8" s="110"/>
      <c r="N8" s="110"/>
    </row>
    <row r="9" spans="1:14">
      <c r="A9" s="93" t="s">
        <v>181</v>
      </c>
      <c r="B9" s="31"/>
      <c r="C9" s="31" t="str">
        <f>Data!$B$33</f>
        <v>Table 4</v>
      </c>
      <c r="D9" s="98" t="s">
        <v>111</v>
      </c>
      <c r="E9" s="50"/>
      <c r="F9" s="50"/>
      <c r="G9" s="99">
        <f>-Data!$F$38*6</f>
        <v>-1200000</v>
      </c>
      <c r="H9" s="143"/>
      <c r="I9" s="143"/>
      <c r="J9" s="143"/>
      <c r="K9" s="143"/>
      <c r="L9" s="143"/>
      <c r="M9" s="110"/>
      <c r="N9" s="110"/>
    </row>
    <row r="10" spans="1:14">
      <c r="A10" s="96" t="s">
        <v>182</v>
      </c>
      <c r="B10" s="141" t="s">
        <v>123</v>
      </c>
      <c r="C10" s="141"/>
      <c r="D10" s="141"/>
      <c r="E10" s="50"/>
      <c r="F10" s="50"/>
      <c r="G10" s="100"/>
      <c r="H10" s="100"/>
      <c r="I10" s="100"/>
      <c r="J10" s="100"/>
      <c r="K10" s="100"/>
      <c r="L10" s="100"/>
      <c r="M10" s="110"/>
      <c r="N10" s="110"/>
    </row>
    <row r="11" spans="1:14">
      <c r="A11" s="93" t="s">
        <v>183</v>
      </c>
      <c r="B11" s="31"/>
      <c r="C11" s="31" t="str">
        <f>Data!$B$42</f>
        <v>Table 5</v>
      </c>
      <c r="D11" s="98" t="str">
        <f>Data!$B$48 &amp; " With App"</f>
        <v>Manufacturing Costs With App</v>
      </c>
      <c r="E11" s="50"/>
      <c r="F11" s="50"/>
      <c r="G11" s="99"/>
      <c r="H11" s="101">
        <f>-Data!$E$48*H23</f>
        <v>-107687610.95813021</v>
      </c>
      <c r="I11" s="101">
        <f>-Data!$E$48*I23</f>
        <v>-190491208.75636753</v>
      </c>
      <c r="J11" s="101">
        <f>-Data!$E$48*J23</f>
        <v>-320894466.85167164</v>
      </c>
      <c r="K11" s="101">
        <f>-Data!$E$48*K23</f>
        <v>-509985000</v>
      </c>
      <c r="L11" s="101">
        <f>-Data!$E$48*L23</f>
        <v>-761890221.39107001</v>
      </c>
      <c r="M11" s="110"/>
      <c r="N11" s="110"/>
    </row>
    <row r="12" spans="1:14">
      <c r="A12" s="93" t="s">
        <v>184</v>
      </c>
      <c r="B12" s="31"/>
      <c r="C12" s="31" t="str">
        <f>Data!$B$42</f>
        <v>Table 5</v>
      </c>
      <c r="D12" s="98" t="str">
        <f>Data!$B$48 &amp; " Without App"</f>
        <v>Manufacturing Costs Without App</v>
      </c>
      <c r="E12" s="50"/>
      <c r="F12" s="50"/>
      <c r="G12" s="99"/>
      <c r="H12" s="101">
        <f>-Data!$E$48*H30</f>
        <v>-101240980.76417889</v>
      </c>
      <c r="I12" s="101">
        <f>-Data!$E$48*I30</f>
        <v>-173593714.80165887</v>
      </c>
      <c r="J12" s="101">
        <f>-Data!$E$48*J30</f>
        <v>-286757943.27891666</v>
      </c>
      <c r="K12" s="101">
        <f>-Data!$E$48*K30</f>
        <v>-452852512.06120396</v>
      </c>
      <c r="L12" s="101">
        <f>-Data!$E$48*L30</f>
        <v>-680561002.02661479</v>
      </c>
      <c r="M12" s="110"/>
      <c r="N12" s="110"/>
    </row>
    <row r="13" spans="1:14">
      <c r="A13" s="93" t="s">
        <v>185</v>
      </c>
      <c r="B13" s="31"/>
      <c r="C13" s="31" t="str">
        <f>Data!$B$42</f>
        <v>Table 5</v>
      </c>
      <c r="D13" s="98" t="str">
        <f>Data!B49</f>
        <v>Annual Allocated Overhead</v>
      </c>
      <c r="E13" s="50"/>
      <c r="F13" s="50"/>
      <c r="G13" s="99"/>
      <c r="H13" s="101">
        <f>-(Data!$E$49)</f>
        <v>-5000000</v>
      </c>
      <c r="I13" s="101">
        <f>-(Data!$E$49)</f>
        <v>-5000000</v>
      </c>
      <c r="J13" s="101">
        <f>-(Data!$E$49)</f>
        <v>-5000000</v>
      </c>
      <c r="K13" s="101">
        <f>-(Data!$E$49)</f>
        <v>-5000000</v>
      </c>
      <c r="L13" s="101">
        <f>-(Data!$E$49)</f>
        <v>-5000000</v>
      </c>
      <c r="M13" s="110"/>
      <c r="N13" s="110"/>
    </row>
    <row r="14" spans="1:14">
      <c r="A14" s="96" t="s">
        <v>186</v>
      </c>
      <c r="B14" s="141" t="s">
        <v>124</v>
      </c>
      <c r="C14" s="141"/>
      <c r="D14" s="141"/>
      <c r="E14" s="102"/>
      <c r="F14" s="31"/>
      <c r="G14" s="31"/>
      <c r="H14" s="31"/>
      <c r="I14" s="31"/>
      <c r="J14" s="31"/>
      <c r="K14" s="31"/>
      <c r="L14" s="31"/>
      <c r="M14" s="110"/>
      <c r="N14" s="110"/>
    </row>
    <row r="15" spans="1:14">
      <c r="A15" s="92" t="s">
        <v>187</v>
      </c>
      <c r="B15" s="31"/>
      <c r="C15" s="31" t="str">
        <f>Data!$B$4</f>
        <v>Table 1</v>
      </c>
      <c r="D15" s="31" t="str">
        <f>Data!B8</f>
        <v>US Revenue</v>
      </c>
      <c r="E15" s="102">
        <f>Data!C8*1000000</f>
        <v>4555000000</v>
      </c>
      <c r="F15" s="102"/>
      <c r="G15" s="101">
        <f>Data!D$8*1000000</f>
        <v>5466000000</v>
      </c>
      <c r="H15" s="101">
        <f>Data!E$8*1000000</f>
        <v>6559000000</v>
      </c>
      <c r="I15" s="101">
        <f>Data!F$8*1000000</f>
        <v>7870000000</v>
      </c>
      <c r="J15" s="101">
        <f>Data!G$8*1000000</f>
        <v>9444000000</v>
      </c>
      <c r="K15" s="101">
        <f>Data!H$8*1000000</f>
        <v>11333000000</v>
      </c>
      <c r="L15" s="101">
        <f>Data!I$8*1000000</f>
        <v>13600000000</v>
      </c>
      <c r="M15" s="101">
        <f>Data!J$8*1000000</f>
        <v>16320000000</v>
      </c>
      <c r="N15" s="101">
        <f>Data!K$8*1000000</f>
        <v>19584000000</v>
      </c>
    </row>
    <row r="16" spans="1:14">
      <c r="A16" s="92" t="s">
        <v>188</v>
      </c>
      <c r="B16" s="31"/>
      <c r="C16" s="31" t="str">
        <f>Data!$B$4</f>
        <v>Table 1</v>
      </c>
      <c r="D16" s="31" t="str">
        <f>Data!B9</f>
        <v>US ASP</v>
      </c>
      <c r="E16" s="102">
        <f>Data!C9</f>
        <v>150</v>
      </c>
      <c r="F16" s="102"/>
      <c r="G16" s="101">
        <f>Data!D9</f>
        <v>150</v>
      </c>
      <c r="H16" s="101">
        <f>Data!E9</f>
        <v>140</v>
      </c>
      <c r="I16" s="101">
        <f>Data!F9</f>
        <v>130</v>
      </c>
      <c r="J16" s="101">
        <f>Data!G9</f>
        <v>120</v>
      </c>
      <c r="K16" s="101">
        <f>Data!H9</f>
        <v>110</v>
      </c>
      <c r="L16" s="101">
        <f>Data!I9</f>
        <v>100</v>
      </c>
      <c r="M16" s="111">
        <f>Data!J9</f>
        <v>100</v>
      </c>
      <c r="N16" s="111">
        <f>Data!K9</f>
        <v>100</v>
      </c>
    </row>
    <row r="17" spans="1:27">
      <c r="A17" s="92" t="s">
        <v>189</v>
      </c>
      <c r="B17" s="31"/>
      <c r="C17" s="31" t="str">
        <f>Data!$B$4</f>
        <v>Table 1</v>
      </c>
      <c r="D17" s="31" t="str">
        <f>Data!B10</f>
        <v>US Units</v>
      </c>
      <c r="E17" s="103">
        <f>Data!C10*1000000</f>
        <v>30000000</v>
      </c>
      <c r="F17" s="103"/>
      <c r="G17" s="103">
        <f>Data!D10*1000000</f>
        <v>36000000</v>
      </c>
      <c r="H17" s="103">
        <f>Data!E10*1000000</f>
        <v>47000000</v>
      </c>
      <c r="I17" s="103">
        <f>Data!F10*1000000</f>
        <v>61000000</v>
      </c>
      <c r="J17" s="103">
        <f>Data!G10*1000000</f>
        <v>79000000</v>
      </c>
      <c r="K17" s="103">
        <f>Data!H10*1000000</f>
        <v>103000000</v>
      </c>
      <c r="L17" s="103">
        <f>Data!I10*1000000</f>
        <v>136000000</v>
      </c>
      <c r="M17" s="112">
        <f>Data!J10*1000000</f>
        <v>163000000</v>
      </c>
      <c r="N17" s="112">
        <f>Data!K10*1000000</f>
        <v>6000000</v>
      </c>
    </row>
    <row r="18" spans="1:27">
      <c r="A18" s="90"/>
      <c r="E18" s="34"/>
      <c r="F18" s="34"/>
      <c r="G18" s="35"/>
      <c r="H18" s="35"/>
      <c r="I18" s="35"/>
      <c r="J18" s="35"/>
      <c r="K18" s="35"/>
      <c r="L18" s="35"/>
      <c r="M18" s="110"/>
      <c r="N18" s="110"/>
    </row>
    <row r="19" spans="1:27">
      <c r="A19" s="90"/>
      <c r="D19" s="104" t="s">
        <v>127</v>
      </c>
      <c r="E19" s="37">
        <v>-0.5</v>
      </c>
      <c r="F19" s="37"/>
      <c r="G19" s="37">
        <v>0</v>
      </c>
      <c r="H19" s="37">
        <v>0.5</v>
      </c>
      <c r="I19" s="37">
        <v>1.5</v>
      </c>
      <c r="J19" s="37">
        <v>2.5</v>
      </c>
      <c r="K19" s="37">
        <v>3.5</v>
      </c>
      <c r="L19" s="37">
        <v>4.5</v>
      </c>
      <c r="M19" s="37">
        <v>5.5</v>
      </c>
      <c r="N19" s="37">
        <v>6.5</v>
      </c>
      <c r="O19" s="37">
        <v>7.5</v>
      </c>
      <c r="P19" s="37">
        <v>8.5</v>
      </c>
      <c r="Q19" s="37">
        <v>9.5</v>
      </c>
      <c r="R19" s="37">
        <v>10.5</v>
      </c>
      <c r="S19" s="37">
        <v>11.5</v>
      </c>
      <c r="T19" s="37">
        <v>12.5</v>
      </c>
      <c r="U19" s="37">
        <v>13.5</v>
      </c>
      <c r="V19" s="37">
        <v>14.5</v>
      </c>
      <c r="W19" s="37">
        <v>15.5</v>
      </c>
      <c r="X19" s="37">
        <v>16.5</v>
      </c>
      <c r="Y19" s="37">
        <v>17.5</v>
      </c>
      <c r="Z19" s="37">
        <v>18.5</v>
      </c>
      <c r="AA19" s="37">
        <v>19.5</v>
      </c>
    </row>
    <row r="20" spans="1:27">
      <c r="A20" s="90" t="s">
        <v>190</v>
      </c>
      <c r="B20" s="141" t="s">
        <v>126</v>
      </c>
      <c r="C20" s="141"/>
      <c r="D20" s="141"/>
      <c r="E20" s="34"/>
      <c r="F20" s="34"/>
      <c r="G20" s="35"/>
      <c r="H20" s="38"/>
      <c r="I20" s="38"/>
      <c r="J20" s="38"/>
      <c r="K20" s="38"/>
      <c r="L20" s="38"/>
      <c r="M20" s="110"/>
      <c r="N20" s="110"/>
    </row>
    <row r="21" spans="1:27">
      <c r="A21" s="92" t="s">
        <v>191</v>
      </c>
      <c r="B21" s="32"/>
      <c r="C21" s="39" t="str">
        <f>Data!$B$14</f>
        <v>Table 2</v>
      </c>
      <c r="D21" s="39" t="s">
        <v>167</v>
      </c>
      <c r="E21" s="35">
        <f>E$15*Data!$C$18</f>
        <v>455500000</v>
      </c>
      <c r="F21" s="34"/>
      <c r="G21" s="35">
        <f>G$15*Data!$C$18</f>
        <v>546600000</v>
      </c>
      <c r="H21" s="35">
        <f>H$15*Data!$C$18</f>
        <v>655900000</v>
      </c>
      <c r="I21" s="35">
        <f>I$15*Data!$C$18</f>
        <v>787000000</v>
      </c>
      <c r="J21" s="35">
        <f>J$15*Data!$C$18</f>
        <v>944400000</v>
      </c>
      <c r="K21" s="35">
        <f>K$15*Data!$C$18</f>
        <v>1133300000</v>
      </c>
      <c r="L21" s="35">
        <f>L$15*Data!$C$18</f>
        <v>1360000000</v>
      </c>
      <c r="M21" s="113">
        <f>M$15*Data!$C$18</f>
        <v>1632000000</v>
      </c>
      <c r="N21" s="113">
        <f>N$15*Data!$C$18</f>
        <v>1958400000</v>
      </c>
    </row>
    <row r="22" spans="1:27">
      <c r="A22" s="92" t="s">
        <v>192</v>
      </c>
      <c r="D22" t="s">
        <v>168</v>
      </c>
      <c r="E22" s="36">
        <f>1/(1+EXP(((-Data!$C$17*(Calculations!E$19-Data!$C$19)))))</f>
        <v>0.11920292202211755</v>
      </c>
      <c r="F22" s="33"/>
      <c r="G22" s="36">
        <f>1/(1+EXP(((-Data!$C$17*(Calculations!G$19-Data!$C$19)))))</f>
        <v>0.14804719803168948</v>
      </c>
      <c r="H22" s="36">
        <f>1/(1+EXP(((-Data!$C$17*(Calculations!H$19-Data!$C$19)))))</f>
        <v>0.18242552380635635</v>
      </c>
      <c r="I22" s="36">
        <f>1/(1+EXP(((-Data!$C$17*(Calculations!I$19-Data!$C$19)))))</f>
        <v>0.2689414213699951</v>
      </c>
      <c r="J22" s="36">
        <f>1/(1+EXP(((-Data!$C$17*(Calculations!J$19-Data!$C$19)))))</f>
        <v>0.37754066879814541</v>
      </c>
      <c r="K22" s="36">
        <f>1/(1+EXP(((-Data!$C$17*(Calculations!K$19-Data!$C$19)))))</f>
        <v>0.5</v>
      </c>
      <c r="L22" s="36">
        <f>1/(1+EXP(((-Data!$C$17*(Calculations!L$19-Data!$C$19)))))</f>
        <v>0.62245933120185459</v>
      </c>
      <c r="M22" s="114">
        <f>1/(1+EXP(((-Data!$C$17*(Calculations!M$19-Data!$C$19)))))</f>
        <v>0.7310585786300049</v>
      </c>
      <c r="N22" s="114">
        <f>1/(1+EXP(((-Data!$C$17*(Calculations!N$19-Data!$C$19)))))</f>
        <v>0.81757447619364365</v>
      </c>
      <c r="O22" s="114">
        <f>1/(1+EXP(((-Data!$C$17*(Calculations!O$19-Data!$C$19)))))</f>
        <v>0.88079707797788231</v>
      </c>
      <c r="P22" s="114">
        <f>1/(1+EXP(((-Data!$C$17*(Calculations!P$19-Data!$C$19)))))</f>
        <v>0.92414181997875655</v>
      </c>
      <c r="Q22" s="114">
        <f>1/(1+EXP(((-Data!$C$17*(Calculations!Q$19-Data!$C$19)))))</f>
        <v>0.95257412682243336</v>
      </c>
      <c r="R22" s="114">
        <f>1/(1+EXP(((-Data!$C$17*(Calculations!R$19-Data!$C$19)))))</f>
        <v>0.97068776924864364</v>
      </c>
      <c r="S22" s="114">
        <f>1/(1+EXP(((-Data!$C$17*(Calculations!S$19-Data!$C$19)))))</f>
        <v>0.98201379003790845</v>
      </c>
      <c r="T22" s="114">
        <f>1/(1+EXP(((-Data!$C$17*(Calculations!T$19-Data!$C$19)))))</f>
        <v>0.98901305736940681</v>
      </c>
      <c r="U22" s="114">
        <f>1/(1+EXP(((-Data!$C$17*(Calculations!U$19-Data!$C$19)))))</f>
        <v>0.99330714907571527</v>
      </c>
      <c r="V22" s="114">
        <f>1/(1+EXP(((-Data!$C$17*(Calculations!V$19-Data!$C$19)))))</f>
        <v>0.99592986228410396</v>
      </c>
      <c r="W22" s="114">
        <f>1/(1+EXP(((-Data!$C$17*(Calculations!W$19-Data!$C$19)))))</f>
        <v>0.99752737684336534</v>
      </c>
      <c r="X22" s="114">
        <f>1/(1+EXP(((-Data!$C$17*(Calculations!X$19-Data!$C$19)))))</f>
        <v>0.99849881774326299</v>
      </c>
      <c r="Y22" s="114">
        <f>1/(1+EXP(((-Data!$C$17*(Calculations!Y$19-Data!$C$19)))))</f>
        <v>0.9990889488055994</v>
      </c>
      <c r="Z22" s="114">
        <f>1/(1+EXP(((-Data!$C$17*(Calculations!Z$19-Data!$C$19)))))</f>
        <v>0.9994472213630764</v>
      </c>
      <c r="AA22" s="114">
        <f>1/(1+EXP(((-Data!$C$17*(Calculations!AA$19-Data!$C$19)))))</f>
        <v>0.99966464986953363</v>
      </c>
    </row>
    <row r="23" spans="1:27">
      <c r="A23" s="92" t="s">
        <v>193</v>
      </c>
      <c r="D23" t="s">
        <v>132</v>
      </c>
      <c r="E23" s="35">
        <v>0</v>
      </c>
      <c r="G23" s="35">
        <v>0</v>
      </c>
      <c r="H23" s="35">
        <f>$H$22*$H$21</f>
        <v>119652901.06458913</v>
      </c>
      <c r="I23" s="35">
        <f t="shared" ref="I23:L23" si="0">I22*I21</f>
        <v>211656898.61818615</v>
      </c>
      <c r="J23" s="35">
        <f t="shared" si="0"/>
        <v>356549407.6129685</v>
      </c>
      <c r="K23" s="35">
        <f t="shared" si="0"/>
        <v>566650000</v>
      </c>
      <c r="L23" s="35">
        <f t="shared" si="0"/>
        <v>846544690.43452227</v>
      </c>
      <c r="M23" s="113">
        <f t="shared" ref="M23:N23" si="1">M22*M21</f>
        <v>1193087600.324168</v>
      </c>
      <c r="N23" s="113">
        <f t="shared" si="1"/>
        <v>1601137854.1776316</v>
      </c>
    </row>
    <row r="24" spans="1:27">
      <c r="A24" s="92" t="s">
        <v>194</v>
      </c>
      <c r="D24" t="s">
        <v>135</v>
      </c>
      <c r="E24" s="42">
        <v>0</v>
      </c>
      <c r="G24" s="42">
        <v>0</v>
      </c>
      <c r="H24" s="42">
        <f>H23/H$16</f>
        <v>854663.57903277944</v>
      </c>
      <c r="I24" s="42">
        <f t="shared" ref="I24:L24" si="2">I23/I$16</f>
        <v>1628129.9893706627</v>
      </c>
      <c r="J24" s="42">
        <f t="shared" si="2"/>
        <v>2971245.0634414041</v>
      </c>
      <c r="K24" s="42">
        <f t="shared" si="2"/>
        <v>5151363.6363636367</v>
      </c>
      <c r="L24" s="42">
        <f t="shared" si="2"/>
        <v>8465446.9043452218</v>
      </c>
      <c r="M24" s="115">
        <f t="shared" ref="M24:N24" si="3">M23/M$16</f>
        <v>11930876.003241681</v>
      </c>
      <c r="N24" s="115">
        <f t="shared" si="3"/>
        <v>16011378.541776316</v>
      </c>
    </row>
    <row r="25" spans="1:27">
      <c r="A25" s="90"/>
      <c r="G25" s="35"/>
      <c r="H25" s="35"/>
      <c r="I25" s="35"/>
      <c r="J25" s="35"/>
      <c r="K25" s="35"/>
      <c r="L25" s="35"/>
      <c r="M25" s="110"/>
      <c r="N25" s="110"/>
    </row>
    <row r="26" spans="1:27">
      <c r="A26" s="90"/>
      <c r="G26" s="35"/>
      <c r="H26" s="35"/>
      <c r="I26" s="35"/>
      <c r="J26" s="35"/>
      <c r="K26" s="35"/>
      <c r="L26" s="35"/>
      <c r="M26" s="110"/>
      <c r="N26" s="110"/>
    </row>
    <row r="27" spans="1:27">
      <c r="A27" s="90" t="s">
        <v>195</v>
      </c>
      <c r="B27" s="141" t="s">
        <v>125</v>
      </c>
      <c r="C27" s="141"/>
      <c r="D27" s="141"/>
      <c r="G27" s="35"/>
      <c r="H27" s="35"/>
      <c r="I27" s="35"/>
      <c r="J27" s="35"/>
      <c r="K27" s="35"/>
      <c r="L27" s="35"/>
      <c r="M27" s="110"/>
      <c r="N27" s="110"/>
    </row>
    <row r="28" spans="1:27">
      <c r="A28" s="92" t="s">
        <v>196</v>
      </c>
      <c r="B28" s="32"/>
      <c r="C28" s="39" t="str">
        <f>Data!$B$14</f>
        <v>Table 2</v>
      </c>
      <c r="D28" s="39" t="str">
        <f>D21</f>
        <v>Max Adoption as Percentage of US Revenues</v>
      </c>
      <c r="E28" s="35">
        <f>E$15*Data!$C$18</f>
        <v>455500000</v>
      </c>
      <c r="G28" s="35">
        <f>G$15*Data!$C$18</f>
        <v>546600000</v>
      </c>
      <c r="H28" s="35">
        <f>H$15*Data!$C$18</f>
        <v>655900000</v>
      </c>
      <c r="I28" s="35">
        <f>I$15*Data!$C$18</f>
        <v>787000000</v>
      </c>
      <c r="J28" s="35">
        <f>J$15*Data!$C$18</f>
        <v>944400000</v>
      </c>
      <c r="K28" s="35">
        <f>K$15*Data!$C$18</f>
        <v>1133300000</v>
      </c>
      <c r="L28" s="35">
        <f>L$15*Data!$C$18</f>
        <v>1360000000</v>
      </c>
      <c r="M28" s="113">
        <f>M$15*Data!$C$18</f>
        <v>1632000000</v>
      </c>
      <c r="N28" s="113">
        <f>N$15*Data!$C$18</f>
        <v>1958400000</v>
      </c>
    </row>
    <row r="29" spans="1:27">
      <c r="A29" s="92" t="s">
        <v>197</v>
      </c>
      <c r="D29" t="str">
        <f>D22</f>
        <v>Market Penetration % Based on Fisher-Pry</v>
      </c>
      <c r="E29" s="36">
        <f>1/(1+EXP(((-Data!$D$17*(Calculations!E$19-Data!$D$19)))))</f>
        <v>0.11660296916113938</v>
      </c>
      <c r="G29" s="36">
        <f>1/(1+EXP(((-Data!$D$17*(Calculations!G$19-Data!$D$19)))))</f>
        <v>0.14185106490048777</v>
      </c>
      <c r="H29" s="36">
        <f>1/(1+EXP(((-Data!$D$17*(Calculations!H$19-Data!$D$19)))))</f>
        <v>0.17150476997540087</v>
      </c>
      <c r="I29" s="36">
        <f>1/(1+EXP(((-Data!$D$17*(Calculations!I$19-Data!$D$19)))))</f>
        <v>0.24508501313237172</v>
      </c>
      <c r="J29" s="36">
        <f>1/(1+EXP(((-Data!$D$17*(Calculations!J$19-Data!$D$19)))))</f>
        <v>0.33737816282991745</v>
      </c>
      <c r="K29" s="36">
        <f>1/(1+EXP(((-Data!$D$17*(Calculations!K$19-Data!$D$19)))))</f>
        <v>0.44398610945538003</v>
      </c>
      <c r="L29" s="36">
        <f>1/(1+EXP(((-Data!$D$17*(Calculations!L$19-Data!$D$19)))))</f>
        <v>0.55601389054461992</v>
      </c>
      <c r="M29" s="114">
        <f>1/(1+EXP(((-Data!$D$17*(Calculations!M$19-Data!$D$19)))))</f>
        <v>0.66262183717008249</v>
      </c>
      <c r="N29" s="114">
        <f>1/(1+EXP(((-Data!$D$17*(Calculations!N$19-Data!$D$19)))))</f>
        <v>0.75491498686762826</v>
      </c>
      <c r="O29" s="114">
        <f>1/(1+EXP(((-Data!$D$17*(Calculations!O$19-Data!$D$19)))))</f>
        <v>0.82849523002459913</v>
      </c>
      <c r="P29" s="114">
        <f>1/(1+EXP(((-Data!$D$17*(Calculations!P$19-Data!$D$19)))))</f>
        <v>0.88339703083886056</v>
      </c>
      <c r="Q29" s="114">
        <f>1/(1+EXP(((-Data!$D$17*(Calculations!Q$19-Data!$D$19)))))</f>
        <v>0.9223705374435115</v>
      </c>
      <c r="R29" s="114">
        <f>1/(1+EXP(((-Data!$D$17*(Calculations!R$19-Data!$D$19)))))</f>
        <v>0.94906852974705647</v>
      </c>
      <c r="S29" s="114">
        <f>1/(1+EXP(((-Data!$D$17*(Calculations!S$19-Data!$D$19)))))</f>
        <v>0.9669140216112958</v>
      </c>
      <c r="T29" s="114">
        <f>1/(1+EXP(((-Data!$D$17*(Calculations!T$19-Data!$D$19)))))</f>
        <v>0.9786474438389795</v>
      </c>
      <c r="U29" s="114">
        <f>1/(1+EXP(((-Data!$D$17*(Calculations!U$19-Data!$D$19)))))</f>
        <v>0.98627884071748106</v>
      </c>
      <c r="V29" s="114">
        <f>1/(1+EXP(((-Data!$D$17*(Calculations!V$19-Data!$D$19)))))</f>
        <v>0.99120728376032508</v>
      </c>
      <c r="W29" s="114">
        <f>1/(1+EXP(((-Data!$D$17*(Calculations!W$19-Data!$D$19)))))</f>
        <v>0.99437559593544766</v>
      </c>
      <c r="X29" s="114">
        <f>1/(1+EXP(((-Data!$D$17*(Calculations!X$19-Data!$D$19)))))</f>
        <v>0.99640639741857984</v>
      </c>
      <c r="Y29" s="114">
        <f>1/(1+EXP(((-Data!$D$17*(Calculations!Y$19-Data!$D$19)))))</f>
        <v>0.9977056300529733</v>
      </c>
      <c r="Z29" s="114">
        <f>1/(1+EXP(((-Data!$D$17*(Calculations!Z$19-Data!$D$19)))))</f>
        <v>0.99853582779669325</v>
      </c>
      <c r="AA29" s="114">
        <f>1/(1+EXP(((-Data!$D$17*(Calculations!AA$19-Data!$D$19)))))</f>
        <v>0.9990659069781429</v>
      </c>
    </row>
    <row r="30" spans="1:27">
      <c r="A30" s="92" t="s">
        <v>198</v>
      </c>
      <c r="D30" t="s">
        <v>132</v>
      </c>
      <c r="E30" s="35">
        <v>0</v>
      </c>
      <c r="G30" s="35">
        <v>0</v>
      </c>
      <c r="H30" s="35">
        <f>H29*H28</f>
        <v>112489978.62686543</v>
      </c>
      <c r="I30" s="35">
        <f t="shared" ref="I30:L30" si="4">I29*I28</f>
        <v>192881905.33517653</v>
      </c>
      <c r="J30" s="35">
        <f t="shared" si="4"/>
        <v>318619936.97657406</v>
      </c>
      <c r="K30" s="35">
        <f t="shared" si="4"/>
        <v>503169457.84578216</v>
      </c>
      <c r="L30" s="35">
        <f t="shared" si="4"/>
        <v>756178891.14068305</v>
      </c>
      <c r="M30" s="113">
        <f t="shared" ref="M30:N30" si="5">M29*M28</f>
        <v>1081398838.2615747</v>
      </c>
      <c r="N30" s="113">
        <f t="shared" si="5"/>
        <v>1478425510.2815633</v>
      </c>
    </row>
    <row r="31" spans="1:27">
      <c r="A31" s="92" t="s">
        <v>199</v>
      </c>
      <c r="D31" t="s">
        <v>135</v>
      </c>
      <c r="E31" s="42">
        <v>0</v>
      </c>
      <c r="G31" s="42">
        <v>0</v>
      </c>
      <c r="H31" s="42">
        <f>H30/H$16</f>
        <v>803499.84733475314</v>
      </c>
      <c r="I31" s="42">
        <f t="shared" ref="I31" si="6">I30/I$16</f>
        <v>1483706.9641167426</v>
      </c>
      <c r="J31" s="42">
        <f t="shared" ref="J31" si="7">J30/J$16</f>
        <v>2655166.1414714507</v>
      </c>
      <c r="K31" s="42">
        <f t="shared" ref="K31" si="8">K30/K$16</f>
        <v>4574267.7985980194</v>
      </c>
      <c r="L31" s="42">
        <f t="shared" ref="L31:N31" si="9">L30/L$16</f>
        <v>7561788.9114068309</v>
      </c>
      <c r="M31" s="115">
        <f t="shared" si="9"/>
        <v>10813988.382615747</v>
      </c>
      <c r="N31" s="115">
        <f t="shared" si="9"/>
        <v>14784255.102815634</v>
      </c>
    </row>
    <row r="32" spans="1:27">
      <c r="A32" s="90"/>
      <c r="F32" s="63"/>
      <c r="M32" s="110"/>
      <c r="N32" s="110"/>
    </row>
    <row r="33" spans="1:14">
      <c r="A33" s="90"/>
      <c r="M33" s="110"/>
      <c r="N33" s="110"/>
    </row>
    <row r="34" spans="1:14">
      <c r="A34" s="90" t="s">
        <v>200</v>
      </c>
      <c r="B34" s="141" t="s">
        <v>131</v>
      </c>
      <c r="C34" s="141"/>
      <c r="D34" s="141"/>
      <c r="M34" s="110"/>
      <c r="N34" s="110"/>
    </row>
    <row r="35" spans="1:14">
      <c r="A35" s="92" t="s">
        <v>201</v>
      </c>
      <c r="D35" t="s">
        <v>129</v>
      </c>
      <c r="G35" s="35"/>
      <c r="H35" s="35">
        <f>SUM(H11,H13,H23)</f>
        <v>6965290.1064589173</v>
      </c>
      <c r="I35" s="35">
        <f t="shared" ref="I35:L35" si="10">SUM(I11,I13,I23)</f>
        <v>16165689.861818612</v>
      </c>
      <c r="J35" s="35">
        <f t="shared" si="10"/>
        <v>30654940.761296868</v>
      </c>
      <c r="K35" s="35">
        <f t="shared" si="10"/>
        <v>51665000</v>
      </c>
      <c r="L35" s="35">
        <f t="shared" si="10"/>
        <v>79654469.043452263</v>
      </c>
      <c r="M35" s="111">
        <f t="shared" ref="M35:N35" si="11">SUM(M11,M13,M23)</f>
        <v>1193087600.324168</v>
      </c>
      <c r="N35" s="111">
        <f t="shared" si="11"/>
        <v>1601137854.1776316</v>
      </c>
    </row>
    <row r="36" spans="1:14" ht="17" thickBot="1">
      <c r="A36" s="92" t="s">
        <v>202</v>
      </c>
      <c r="C36" t="str">
        <f>Data!$B$53</f>
        <v>Table 6</v>
      </c>
      <c r="D36" s="54" t="s">
        <v>128</v>
      </c>
      <c r="H36" s="35">
        <f>-H35*Data!$C$56</f>
        <v>-1462710.9223563725</v>
      </c>
      <c r="I36" s="35">
        <f>-I35*Data!$C$56</f>
        <v>-3394794.8709819084</v>
      </c>
      <c r="J36" s="35">
        <f>-J35*Data!$C$56</f>
        <v>-6437537.5598723423</v>
      </c>
      <c r="K36" s="35">
        <f>-K35*Data!$C$56</f>
        <v>-10849650</v>
      </c>
      <c r="L36" s="35">
        <f>-L35*Data!$C$56</f>
        <v>-16727438.499124974</v>
      </c>
      <c r="M36" s="111">
        <f>-M35*Data!$C$56</f>
        <v>-250548396.06807527</v>
      </c>
      <c r="N36" s="111">
        <f>-N35*Data!$C$56</f>
        <v>-336238949.37730265</v>
      </c>
    </row>
    <row r="37" spans="1:14" ht="17" thickBot="1">
      <c r="A37" s="92" t="s">
        <v>203</v>
      </c>
      <c r="D37" s="62" t="s">
        <v>130</v>
      </c>
      <c r="G37" s="64"/>
      <c r="H37" s="65">
        <f>SUM(H35:H36)</f>
        <v>5502579.1841025446</v>
      </c>
      <c r="I37" s="65">
        <f t="shared" ref="I37:L37" si="12">SUM(I35:I36)</f>
        <v>12770894.990836702</v>
      </c>
      <c r="J37" s="65">
        <f t="shared" si="12"/>
        <v>24217403.201424524</v>
      </c>
      <c r="K37" s="65">
        <f t="shared" si="12"/>
        <v>40815350</v>
      </c>
      <c r="L37" s="65">
        <f t="shared" si="12"/>
        <v>62927030.544327289</v>
      </c>
      <c r="M37" s="111">
        <f t="shared" ref="M37:N37" si="13">SUM(M35:M36)</f>
        <v>942539204.25609267</v>
      </c>
      <c r="N37" s="111">
        <f t="shared" si="13"/>
        <v>1264898904.800329</v>
      </c>
    </row>
    <row r="38" spans="1:14">
      <c r="A38" s="92" t="s">
        <v>204</v>
      </c>
      <c r="C38" t="str">
        <f>Summary!$D$6</f>
        <v>Estimated Royalty Rate</v>
      </c>
      <c r="D38" s="58" t="s">
        <v>137</v>
      </c>
      <c r="F38" s="35"/>
      <c r="G38" s="55">
        <v>0</v>
      </c>
      <c r="H38" s="55">
        <f>-H37*Summary!$D$7</f>
        <v>-137564.47960256363</v>
      </c>
      <c r="I38" s="55">
        <f>-I37*Summary!$D$7</f>
        <v>-319272.37477091758</v>
      </c>
      <c r="J38" s="55">
        <f>-J37*Summary!$D$7</f>
        <v>-605435.08003561315</v>
      </c>
      <c r="K38" s="55">
        <f>-K37*Summary!$D$7</f>
        <v>-1020383.75</v>
      </c>
      <c r="L38" s="55">
        <f>-L37*Summary!$D$7</f>
        <v>-1573175.7636081823</v>
      </c>
      <c r="M38" s="111">
        <f>-M37*Summary!$D$7</f>
        <v>-23563480.106402319</v>
      </c>
      <c r="N38" s="111">
        <f>-N37*Summary!$D$7</f>
        <v>-31622472.620008226</v>
      </c>
    </row>
    <row r="39" spans="1:14">
      <c r="A39" s="92" t="s">
        <v>205</v>
      </c>
      <c r="D39" t="s">
        <v>158</v>
      </c>
      <c r="F39" s="35"/>
      <c r="G39" s="35">
        <v>0</v>
      </c>
      <c r="H39" s="35">
        <f>SUM(H37:H38)</f>
        <v>5365014.7044999814</v>
      </c>
      <c r="I39" s="35">
        <f t="shared" ref="I39:L39" si="14">SUM(I37:I38)</f>
        <v>12451622.616065785</v>
      </c>
      <c r="J39" s="35">
        <f t="shared" si="14"/>
        <v>23611968.121388912</v>
      </c>
      <c r="K39" s="35">
        <f t="shared" si="14"/>
        <v>39794966.25</v>
      </c>
      <c r="L39" s="35">
        <f t="shared" si="14"/>
        <v>61353854.780719109</v>
      </c>
      <c r="M39" s="111">
        <f t="shared" ref="M39:N39" si="15">SUM(M37:M38)</f>
        <v>918975724.14969039</v>
      </c>
      <c r="N39" s="111">
        <f t="shared" si="15"/>
        <v>1233276432.1803207</v>
      </c>
    </row>
    <row r="40" spans="1:14">
      <c r="A40" s="92" t="s">
        <v>206</v>
      </c>
      <c r="C40" t="str">
        <f>Data!$B$23</f>
        <v>Table 3</v>
      </c>
      <c r="D40" s="57" t="s">
        <v>138</v>
      </c>
      <c r="G40" s="56">
        <v>0</v>
      </c>
      <c r="H40" s="56">
        <f>-(H24*Data!$G$28)</f>
        <v>-5127981.4741966762</v>
      </c>
      <c r="I40" s="56">
        <f>-(I24*Data!$G$28)</f>
        <v>-9768779.9362239763</v>
      </c>
      <c r="J40" s="56">
        <f>-(J24*Data!$G$28)</f>
        <v>-17827470.380648427</v>
      </c>
      <c r="K40" s="56">
        <f>-(K24*Data!$G$28)</f>
        <v>-30908181.81818182</v>
      </c>
      <c r="L40" s="56">
        <f>-(L24*Data!$G$28)</f>
        <v>-50792681.426071331</v>
      </c>
      <c r="M40" s="111">
        <f>-(M24*Data!$G$28)</f>
        <v>-71585256.019450083</v>
      </c>
      <c r="N40" s="111">
        <f>-(N24*Data!$G$28)</f>
        <v>-96068271.250657901</v>
      </c>
    </row>
    <row r="41" spans="1:14">
      <c r="A41" s="92" t="s">
        <v>207</v>
      </c>
      <c r="D41" t="s">
        <v>159</v>
      </c>
      <c r="G41" s="35">
        <v>0</v>
      </c>
      <c r="H41" s="35">
        <f>SUM(H39:H40)</f>
        <v>237033.2303033052</v>
      </c>
      <c r="I41" s="35">
        <f t="shared" ref="I41" si="16">SUM(I39:I40)</f>
        <v>2682842.679841809</v>
      </c>
      <c r="J41" s="35">
        <f t="shared" ref="J41" si="17">SUM(J39:J40)</f>
        <v>5784497.7407404855</v>
      </c>
      <c r="K41" s="35">
        <f t="shared" ref="K41" si="18">SUM(K39:K40)</f>
        <v>8886784.4318181798</v>
      </c>
      <c r="L41" s="35">
        <f t="shared" ref="L41:N41" si="19">SUM(L39:L40)</f>
        <v>10561173.354647778</v>
      </c>
      <c r="M41" s="111">
        <f t="shared" si="19"/>
        <v>847390468.13024032</v>
      </c>
      <c r="N41" s="111">
        <f t="shared" si="19"/>
        <v>1137208160.9296629</v>
      </c>
    </row>
    <row r="42" spans="1:14">
      <c r="A42" s="90"/>
      <c r="M42" s="110"/>
      <c r="N42" s="110"/>
    </row>
    <row r="43" spans="1:14">
      <c r="A43" s="90" t="s">
        <v>208</v>
      </c>
      <c r="B43" s="141" t="s">
        <v>154</v>
      </c>
      <c r="C43" s="141"/>
      <c r="D43" s="141"/>
      <c r="M43" s="110"/>
      <c r="N43" s="110"/>
    </row>
    <row r="44" spans="1:14">
      <c r="A44" s="92" t="s">
        <v>209</v>
      </c>
      <c r="D44" t="str">
        <f t="shared" ref="D44:D49" si="20">D35</f>
        <v>Income Before Tax</v>
      </c>
      <c r="G44" s="35"/>
      <c r="H44" s="35">
        <f>SUM(H12,H13,H30)</f>
        <v>6248997.8626865447</v>
      </c>
      <c r="I44" s="35">
        <f t="shared" ref="I44:L44" si="21">SUM(I12,I13,I30)</f>
        <v>14288190.533517659</v>
      </c>
      <c r="J44" s="35">
        <f t="shared" si="21"/>
        <v>26861993.697657406</v>
      </c>
      <c r="K44" s="35">
        <f t="shared" si="21"/>
        <v>45316945.784578204</v>
      </c>
      <c r="L44" s="35">
        <f t="shared" si="21"/>
        <v>70617889.11406827</v>
      </c>
      <c r="M44" s="111">
        <f t="shared" ref="M44:N44" si="22">SUM(M12,M13,M30)</f>
        <v>1081398838.2615747</v>
      </c>
      <c r="N44" s="111">
        <f t="shared" si="22"/>
        <v>1478425510.2815633</v>
      </c>
    </row>
    <row r="45" spans="1:14">
      <c r="A45" s="92" t="s">
        <v>210</v>
      </c>
      <c r="D45" t="str">
        <f t="shared" si="20"/>
        <v>Tax</v>
      </c>
      <c r="H45" s="35">
        <f>-H44*Data!$C$56</f>
        <v>-1312289.5511641742</v>
      </c>
      <c r="I45" s="35">
        <f>-I44*Data!$C$56</f>
        <v>-3000520.0120387082</v>
      </c>
      <c r="J45" s="35">
        <f>-J44*Data!$C$56</f>
        <v>-5641018.6765080551</v>
      </c>
      <c r="K45" s="35">
        <f>-K44*Data!$C$56</f>
        <v>-9516558.6147614233</v>
      </c>
      <c r="L45" s="35">
        <f>-L44*Data!$C$56</f>
        <v>-14829756.713954337</v>
      </c>
      <c r="M45" s="111">
        <f>-M44*Data!$C$56</f>
        <v>-227093756.03493068</v>
      </c>
      <c r="N45" s="111">
        <f>-N44*Data!$C$56</f>
        <v>-310469357.15912825</v>
      </c>
    </row>
    <row r="46" spans="1:14">
      <c r="A46" s="92" t="s">
        <v>211</v>
      </c>
      <c r="D46" s="62" t="str">
        <f t="shared" si="20"/>
        <v>Income After Tax</v>
      </c>
      <c r="H46" s="61">
        <f>SUM(H44:H45)</f>
        <v>4936708.3115223702</v>
      </c>
      <c r="I46" s="61">
        <f t="shared" ref="I46" si="23">SUM(I44:I45)</f>
        <v>11287670.521478951</v>
      </c>
      <c r="J46" s="61">
        <f t="shared" ref="J46" si="24">SUM(J44:J45)</f>
        <v>21220975.021149352</v>
      </c>
      <c r="K46" s="61">
        <f t="shared" ref="K46" si="25">SUM(K44:K45)</f>
        <v>35800387.169816777</v>
      </c>
      <c r="L46" s="61">
        <f t="shared" ref="L46:N46" si="26">SUM(L44:L45)</f>
        <v>55788132.400113933</v>
      </c>
      <c r="M46" s="111">
        <f t="shared" si="26"/>
        <v>854305082.22664404</v>
      </c>
      <c r="N46" s="111">
        <f t="shared" si="26"/>
        <v>1167956153.1224351</v>
      </c>
    </row>
    <row r="47" spans="1:14">
      <c r="A47" s="92" t="s">
        <v>212</v>
      </c>
      <c r="C47" t="str">
        <f>Summary!$D$6</f>
        <v>Estimated Royalty Rate</v>
      </c>
      <c r="D47" s="59" t="str">
        <f t="shared" si="20"/>
        <v>Royalty as a Percentage</v>
      </c>
      <c r="F47" s="35"/>
      <c r="G47" s="55">
        <v>0</v>
      </c>
      <c r="H47" s="55">
        <f>-H46*Summary!$D$7</f>
        <v>-123417.70778805926</v>
      </c>
      <c r="I47" s="55">
        <f>-I46*Summary!$D$7</f>
        <v>-282191.76303697377</v>
      </c>
      <c r="J47" s="55">
        <f>-J46*Summary!$D$7</f>
        <v>-530524.37552873383</v>
      </c>
      <c r="K47" s="55">
        <f>-K46*Summary!$D$7</f>
        <v>-895009.67924541945</v>
      </c>
      <c r="L47" s="55">
        <f>-L46*Summary!$D$7</f>
        <v>-1394703.3100028485</v>
      </c>
      <c r="M47" s="111">
        <f>-M46*Summary!$D$7</f>
        <v>-21357627.055666104</v>
      </c>
      <c r="N47" s="111">
        <f>-N46*Summary!$D$7</f>
        <v>-29198903.82806088</v>
      </c>
    </row>
    <row r="48" spans="1:14">
      <c r="A48" s="92" t="s">
        <v>213</v>
      </c>
      <c r="D48" t="str">
        <f t="shared" si="20"/>
        <v>Income After Tax (Royalty Percentage basis)</v>
      </c>
      <c r="F48" s="35"/>
      <c r="G48" s="35">
        <v>0</v>
      </c>
      <c r="H48" s="35">
        <f>SUM(H46:H47)</f>
        <v>4813290.6037343107</v>
      </c>
      <c r="I48" s="35">
        <f t="shared" ref="I48" si="27">SUM(I46:I47)</f>
        <v>11005478.758441977</v>
      </c>
      <c r="J48" s="35">
        <f t="shared" ref="J48" si="28">SUM(J46:J47)</f>
        <v>20690450.645620618</v>
      </c>
      <c r="K48" s="35">
        <f t="shared" ref="K48" si="29">SUM(K46:K47)</f>
        <v>34905377.490571357</v>
      </c>
      <c r="L48" s="35">
        <f t="shared" ref="L48:N48" si="30">SUM(L46:L47)</f>
        <v>54393429.090111084</v>
      </c>
      <c r="M48" s="111">
        <f t="shared" si="30"/>
        <v>832947455.17097795</v>
      </c>
      <c r="N48" s="111">
        <f t="shared" si="30"/>
        <v>1138757249.2943742</v>
      </c>
    </row>
    <row r="49" spans="1:14">
      <c r="A49" s="92" t="s">
        <v>214</v>
      </c>
      <c r="C49" t="str">
        <f>Data!$B$23</f>
        <v>Table 3</v>
      </c>
      <c r="D49" s="57" t="str">
        <f t="shared" si="20"/>
        <v>Royalty on a Per Unit Basis</v>
      </c>
      <c r="G49" s="56">
        <v>0</v>
      </c>
      <c r="H49" s="56">
        <f>-(H31*Data!$G$28)</f>
        <v>-4820999.0840085186</v>
      </c>
      <c r="I49" s="56">
        <f>-(I31*Data!$G$28)</f>
        <v>-8902241.7847004551</v>
      </c>
      <c r="J49" s="56">
        <f>-(J31*Data!$G$28)</f>
        <v>-15930996.848828703</v>
      </c>
      <c r="K49" s="56">
        <f>-(K31*Data!$G$28)</f>
        <v>-27445606.791588116</v>
      </c>
      <c r="L49" s="56">
        <f>-(L31*Data!$G$28)</f>
        <v>-45370733.468440987</v>
      </c>
      <c r="M49" s="111">
        <f>-(M31*Data!$G$28)</f>
        <v>-64883930.295694485</v>
      </c>
      <c r="N49" s="111">
        <f>-(N31*Data!$G$28)</f>
        <v>-88705530.616893798</v>
      </c>
    </row>
    <row r="50" spans="1:14">
      <c r="A50" s="92" t="s">
        <v>215</v>
      </c>
      <c r="D50" t="str">
        <f>D41</f>
        <v>Income After Tax (Per Unit Royalty basis)</v>
      </c>
      <c r="G50" s="35">
        <v>0</v>
      </c>
      <c r="H50" s="35">
        <f>SUM(H48:H49)</f>
        <v>-7708.48027420789</v>
      </c>
      <c r="I50" s="35">
        <f t="shared" ref="I50:L50" si="31">SUM(I48:I49)</f>
        <v>2103236.9737415221</v>
      </c>
      <c r="J50" s="35">
        <f t="shared" si="31"/>
        <v>4759453.7967919149</v>
      </c>
      <c r="K50" s="35">
        <f t="shared" si="31"/>
        <v>7459770.6989832409</v>
      </c>
      <c r="L50" s="35">
        <f t="shared" si="31"/>
        <v>9022695.6216700971</v>
      </c>
      <c r="M50" s="111">
        <f t="shared" ref="M50:N50" si="32">SUM(M48:M49)</f>
        <v>768063524.87528348</v>
      </c>
      <c r="N50" s="111">
        <f t="shared" si="32"/>
        <v>1050051718.6774805</v>
      </c>
    </row>
    <row r="51" spans="1:14">
      <c r="A51" s="90"/>
      <c r="M51" s="110"/>
      <c r="N51" s="110"/>
    </row>
    <row r="52" spans="1:14">
      <c r="A52" s="90" t="s">
        <v>216</v>
      </c>
      <c r="B52" s="141" t="s">
        <v>133</v>
      </c>
      <c r="C52" s="141"/>
      <c r="D52" s="141"/>
      <c r="M52" s="110"/>
      <c r="N52" s="110"/>
    </row>
    <row r="53" spans="1:14">
      <c r="A53" s="92" t="s">
        <v>217</v>
      </c>
      <c r="D53" t="s">
        <v>139</v>
      </c>
      <c r="F53" s="55" cm="1">
        <f t="array" ref="F53">XNPV(Data!$C$57,-(Calculations!$G$38:$L$38),Calculations!$G$1:$L$1)</f>
        <v>2516634.3525292887</v>
      </c>
      <c r="G53" s="35"/>
      <c r="M53" s="110"/>
      <c r="N53" s="110"/>
    </row>
    <row r="54" spans="1:14">
      <c r="A54" s="92" t="s">
        <v>218</v>
      </c>
      <c r="D54" t="s">
        <v>140</v>
      </c>
      <c r="F54" s="55" cm="1">
        <f t="array" ref="F54">XNPV(Data!$C$57,-(Calculations!$G$47:$L$47),Calculations!$G$1:$L$1)</f>
        <v>2220503.7369825612</v>
      </c>
      <c r="H54" s="35"/>
      <c r="M54" s="110"/>
      <c r="N54" s="110"/>
    </row>
    <row r="55" spans="1:14">
      <c r="A55" s="92" t="s">
        <v>219</v>
      </c>
      <c r="D55" s="45" t="s">
        <v>145</v>
      </c>
      <c r="F55" s="60">
        <f>AVERAGE(F53:F54)</f>
        <v>2368569.044755925</v>
      </c>
      <c r="M55" s="110"/>
      <c r="N55" s="110"/>
    </row>
    <row r="56" spans="1:14">
      <c r="A56" s="92"/>
      <c r="M56" s="110"/>
      <c r="N56" s="110"/>
    </row>
    <row r="57" spans="1:14">
      <c r="A57" s="92" t="s">
        <v>220</v>
      </c>
      <c r="D57" t="s">
        <v>141</v>
      </c>
      <c r="F57" s="56" cm="1">
        <f t="array" ref="F57">XNPV(Data!$C$57,-(Calculations!$G$40:$L$40),Calculations!$G$1:$L$1)</f>
        <v>78749378.228773162</v>
      </c>
      <c r="G57" s="35"/>
      <c r="M57" s="110"/>
      <c r="N57" s="110"/>
    </row>
    <row r="58" spans="1:14">
      <c r="A58" s="92" t="s">
        <v>221</v>
      </c>
      <c r="D58" t="s">
        <v>142</v>
      </c>
      <c r="F58" s="56" cm="1">
        <f t="array" ref="F58">XNPV(Data!$C$57,-(Calculations!$G$49:$L$49),Calculations!$G$1:$L$1)</f>
        <v>70600726.099223539</v>
      </c>
      <c r="M58" s="110"/>
      <c r="N58" s="110"/>
    </row>
    <row r="59" spans="1:14">
      <c r="A59" s="92" t="s">
        <v>222</v>
      </c>
      <c r="D59" s="45" t="s">
        <v>145</v>
      </c>
      <c r="F59" s="60">
        <f>AVERAGE(F57:F58)</f>
        <v>74675052.163998351</v>
      </c>
      <c r="M59" s="110"/>
      <c r="N59" s="110"/>
    </row>
    <row r="60" spans="1:14" ht="17" thickBot="1">
      <c r="A60" s="92"/>
      <c r="M60" s="110"/>
      <c r="N60" s="110"/>
    </row>
    <row r="61" spans="1:14" ht="17" thickBot="1">
      <c r="A61" s="92" t="s">
        <v>223</v>
      </c>
      <c r="B61" t="s">
        <v>246</v>
      </c>
      <c r="D61" s="132" t="s">
        <v>146</v>
      </c>
      <c r="E61" s="133"/>
      <c r="F61" s="134">
        <f>AVERAGE(F55,F59)</f>
        <v>38521810.604377136</v>
      </c>
      <c r="M61" s="110"/>
      <c r="N61" s="110"/>
    </row>
    <row r="62" spans="1:14">
      <c r="A62" s="90"/>
      <c r="F62" s="35"/>
      <c r="M62" s="110"/>
      <c r="N62" s="110"/>
    </row>
    <row r="63" spans="1:14">
      <c r="A63" s="90"/>
      <c r="M63" s="110"/>
      <c r="N63" s="110"/>
    </row>
    <row r="64" spans="1:14">
      <c r="A64" s="90" t="s">
        <v>224</v>
      </c>
      <c r="B64" s="141" t="s">
        <v>134</v>
      </c>
      <c r="C64" s="141"/>
      <c r="D64" s="141"/>
      <c r="M64" s="110"/>
      <c r="N64" s="110"/>
    </row>
    <row r="65" spans="1:14" ht="17" thickBot="1">
      <c r="A65" s="92" t="s">
        <v>225</v>
      </c>
      <c r="D65" s="62" t="s">
        <v>169</v>
      </c>
      <c r="F65" s="35"/>
      <c r="G65" s="35">
        <v>0</v>
      </c>
      <c r="H65" s="61">
        <f>H37-H46</f>
        <v>565870.87258017436</v>
      </c>
      <c r="I65" s="61">
        <f t="shared" ref="I65:L65" si="33">I37-I46</f>
        <v>1483224.4693577513</v>
      </c>
      <c r="J65" s="61">
        <f t="shared" si="33"/>
        <v>2996428.180275172</v>
      </c>
      <c r="K65" s="61">
        <f t="shared" si="33"/>
        <v>5014962.8301832229</v>
      </c>
      <c r="L65" s="61">
        <f t="shared" si="33"/>
        <v>7138898.1442133561</v>
      </c>
      <c r="M65" s="110"/>
      <c r="N65" s="110"/>
    </row>
    <row r="66" spans="1:14" ht="17" thickBot="1">
      <c r="A66" s="92" t="s">
        <v>226</v>
      </c>
      <c r="B66" t="s">
        <v>247</v>
      </c>
      <c r="D66" s="135" t="s">
        <v>171</v>
      </c>
      <c r="E66" s="133"/>
      <c r="F66" s="134">
        <f>XNPV(Data!$C$57,Calculations!G65:L65,Calculations!$G$1:$L$1)</f>
        <v>11845224.621869104</v>
      </c>
      <c r="M66" s="110"/>
      <c r="N66" s="110"/>
    </row>
    <row r="67" spans="1:14">
      <c r="A67" s="92" t="s">
        <v>227</v>
      </c>
      <c r="D67" t="s">
        <v>170</v>
      </c>
      <c r="M67" s="110"/>
      <c r="N67" s="110"/>
    </row>
    <row r="68" spans="1:14">
      <c r="A68" s="92" t="s">
        <v>228</v>
      </c>
      <c r="D68" s="45" t="s">
        <v>172</v>
      </c>
      <c r="F68" s="35">
        <f>-(XNPV(Data!$C$57,Calculations!G6,Calculations!G1))</f>
        <v>1440000</v>
      </c>
      <c r="G68" s="35"/>
      <c r="H68" s="35"/>
      <c r="I68" s="35"/>
      <c r="J68" s="35"/>
      <c r="K68" s="35"/>
      <c r="L68" s="35"/>
      <c r="M68" s="110"/>
      <c r="N68" s="110"/>
    </row>
    <row r="69" spans="1:14">
      <c r="A69" s="90"/>
      <c r="F69" s="35"/>
      <c r="M69" s="110"/>
      <c r="N69" s="110"/>
    </row>
    <row r="70" spans="1:14">
      <c r="A70" s="90"/>
      <c r="M70" s="110"/>
      <c r="N70" s="110"/>
    </row>
    <row r="71" spans="1:14" ht="17" thickBot="1">
      <c r="A71" s="91" t="s">
        <v>229</v>
      </c>
      <c r="B71" s="141" t="s">
        <v>151</v>
      </c>
      <c r="C71" s="141"/>
      <c r="D71" s="141"/>
      <c r="F71" s="35"/>
      <c r="M71" s="110"/>
      <c r="N71" s="110"/>
    </row>
    <row r="72" spans="1:14" ht="17" thickBot="1">
      <c r="A72" s="95" t="s">
        <v>230</v>
      </c>
      <c r="D72" s="68" t="s">
        <v>160</v>
      </c>
      <c r="G72" s="67">
        <f>SUM(G2,G6)</f>
        <v>-66440000</v>
      </c>
      <c r="H72" s="65">
        <f>H37</f>
        <v>5502579.1841025446</v>
      </c>
      <c r="I72" s="65">
        <f t="shared" ref="I72:L72" si="34">I37</f>
        <v>12770894.990836702</v>
      </c>
      <c r="J72" s="65">
        <f t="shared" si="34"/>
        <v>24217403.201424524</v>
      </c>
      <c r="K72" s="65">
        <f t="shared" si="34"/>
        <v>40815350</v>
      </c>
      <c r="L72" s="66">
        <f t="shared" si="34"/>
        <v>62927030.544327289</v>
      </c>
      <c r="M72" s="110"/>
      <c r="N72" s="110"/>
    </row>
    <row r="73" spans="1:14" ht="17" thickBot="1">
      <c r="A73" s="92" t="s">
        <v>231</v>
      </c>
      <c r="B73" s="36"/>
      <c r="C73" s="36"/>
      <c r="D73" s="94" t="s">
        <v>155</v>
      </c>
      <c r="E73" s="69"/>
      <c r="F73" s="87">
        <f>XIRR(G72:L72,$G$1:$L$1)</f>
        <v>0.22810209393501285</v>
      </c>
    </row>
    <row r="74" spans="1:14">
      <c r="A74" s="48"/>
      <c r="B74" s="36"/>
      <c r="C74" s="36"/>
    </row>
    <row r="75" spans="1:14">
      <c r="A75" s="48"/>
      <c r="B75" s="36"/>
      <c r="C75" s="36"/>
      <c r="G75" s="84"/>
      <c r="H75" s="35"/>
      <c r="I75" s="35"/>
      <c r="J75" s="35"/>
      <c r="K75" s="35"/>
      <c r="L75" s="35"/>
    </row>
    <row r="76" spans="1:14">
      <c r="A76" s="48"/>
      <c r="B76" s="36"/>
      <c r="C76" s="36"/>
      <c r="F76" s="36"/>
    </row>
    <row r="77" spans="1:14">
      <c r="A77" s="48"/>
      <c r="B77" s="36"/>
      <c r="C77" s="36"/>
    </row>
    <row r="80" spans="1:14">
      <c r="G80" t="s">
        <v>237</v>
      </c>
      <c r="I80" t="s">
        <v>238</v>
      </c>
    </row>
    <row r="81" spans="4:14" ht="34">
      <c r="D81" s="117" t="s">
        <v>232</v>
      </c>
      <c r="E81" s="117" t="s">
        <v>54</v>
      </c>
      <c r="F81" s="118" t="s">
        <v>239</v>
      </c>
      <c r="G81" s="117" t="s">
        <v>45</v>
      </c>
      <c r="H81" s="117" t="s">
        <v>236</v>
      </c>
      <c r="I81" s="118" t="s">
        <v>45</v>
      </c>
      <c r="J81" s="118" t="s">
        <v>236</v>
      </c>
      <c r="K81" s="117" t="s">
        <v>39</v>
      </c>
      <c r="L81" s="117" t="s">
        <v>38</v>
      </c>
      <c r="M81" s="118" t="s">
        <v>240</v>
      </c>
    </row>
    <row r="82" spans="4:14">
      <c r="D82" s="106">
        <v>0.5</v>
      </c>
      <c r="E82" s="105">
        <v>44012</v>
      </c>
      <c r="F82" s="107">
        <f>H$15*Data!$C$18</f>
        <v>655900000</v>
      </c>
      <c r="G82" s="107">
        <f>H23</f>
        <v>119652901.06458913</v>
      </c>
      <c r="H82" s="107">
        <f>H30</f>
        <v>112489978.62686543</v>
      </c>
      <c r="I82" s="108">
        <f>1/(1+EXP(((-Data!$C$17*(Calculations!H$19-Data!$C$19)))))</f>
        <v>0.18242552380635635</v>
      </c>
      <c r="J82" s="108">
        <f>1/(1+EXP(((-Data!$D$17*(Calculations!H$19-Data!$D$19)))))</f>
        <v>0.17150476997540087</v>
      </c>
      <c r="K82" s="123">
        <f>Data!D$8*1000000</f>
        <v>5466000000</v>
      </c>
      <c r="L82" s="123">
        <f>Data!D$7*1000000</f>
        <v>13664000000</v>
      </c>
      <c r="M82" s="108">
        <f>(K82-E15)/K82</f>
        <v>0.16666666666666666</v>
      </c>
      <c r="N82" s="60"/>
    </row>
    <row r="83" spans="4:14">
      <c r="D83" s="106">
        <v>1.5</v>
      </c>
      <c r="E83" s="105">
        <v>44377</v>
      </c>
      <c r="F83" s="107">
        <f>I$15*Data!$C$18</f>
        <v>787000000</v>
      </c>
      <c r="G83" s="107">
        <f>I23</f>
        <v>211656898.61818615</v>
      </c>
      <c r="H83" s="107">
        <f>I30</f>
        <v>192881905.33517653</v>
      </c>
      <c r="I83" s="108">
        <f>1/(1+EXP(((-Data!$C$17*(Calculations!I$19-Data!$C$19)))))</f>
        <v>0.2689414213699951</v>
      </c>
      <c r="J83" s="108">
        <f>1/(1+EXP(((-Data!$D$17*(Calculations!I$19-Data!$D$19)))))</f>
        <v>0.24508501313237172</v>
      </c>
      <c r="K83" s="123">
        <f>Data!E$8*1000000</f>
        <v>6559000000</v>
      </c>
      <c r="L83" s="123">
        <f>Data!E$7*1000000</f>
        <v>16397000000</v>
      </c>
      <c r="M83" s="108">
        <f>(K83-K82)/K82</f>
        <v>0.19996341017197219</v>
      </c>
      <c r="N83" s="60"/>
    </row>
    <row r="84" spans="4:14">
      <c r="D84" s="106">
        <v>2.5</v>
      </c>
      <c r="E84" s="105">
        <v>44742</v>
      </c>
      <c r="F84" s="107">
        <f>J$15*Data!$C$18</f>
        <v>944400000</v>
      </c>
      <c r="G84" s="107">
        <f>J23</f>
        <v>356549407.6129685</v>
      </c>
      <c r="H84" s="107">
        <f>J30</f>
        <v>318619936.97657406</v>
      </c>
      <c r="I84" s="108">
        <f>1/(1+EXP(((-Data!$C$17*(Calculations!J$19-Data!$C$19)))))</f>
        <v>0.37754066879814541</v>
      </c>
      <c r="J84" s="108">
        <f>1/(1+EXP(((-Data!$D$17*(Calculations!J$19-Data!$D$19)))))</f>
        <v>0.33737816282991745</v>
      </c>
      <c r="K84" s="123">
        <f>Data!F$8*1000000</f>
        <v>7870000000</v>
      </c>
      <c r="L84" s="123">
        <f>Data!F$7*1000000</f>
        <v>19676000000</v>
      </c>
      <c r="M84" s="108">
        <f t="shared" ref="M84:M87" si="35">(K84-K83)/K83</f>
        <v>0.19987803018752859</v>
      </c>
      <c r="N84" s="60"/>
    </row>
    <row r="85" spans="4:14">
      <c r="D85" s="106">
        <v>3.5</v>
      </c>
      <c r="E85" s="105">
        <v>45107</v>
      </c>
      <c r="F85" s="107">
        <f>K$15*Data!$C$18</f>
        <v>1133300000</v>
      </c>
      <c r="G85" s="107">
        <f>K23</f>
        <v>566650000</v>
      </c>
      <c r="H85" s="107">
        <f>K30</f>
        <v>503169457.84578216</v>
      </c>
      <c r="I85" s="108">
        <f>1/(1+EXP(((-Data!$C$17*(Calculations!K$19-Data!$C$19)))))</f>
        <v>0.5</v>
      </c>
      <c r="J85" s="108">
        <f>1/(1+EXP(((-Data!$D$17*(Calculations!K$19-Data!$D$19)))))</f>
        <v>0.44398610945538003</v>
      </c>
      <c r="K85" s="123">
        <f>Data!G$8*1000000</f>
        <v>9444000000</v>
      </c>
      <c r="L85" s="123">
        <f>Data!G$7*1000000</f>
        <v>23611000000</v>
      </c>
      <c r="M85" s="108">
        <f t="shared" si="35"/>
        <v>0.2</v>
      </c>
      <c r="N85" s="60"/>
    </row>
    <row r="86" spans="4:14">
      <c r="D86" s="106">
        <v>4.5</v>
      </c>
      <c r="E86" s="105">
        <v>45473</v>
      </c>
      <c r="F86" s="107">
        <f>L$15*Data!$C$18</f>
        <v>1360000000</v>
      </c>
      <c r="G86" s="107">
        <f>L23</f>
        <v>846544690.43452227</v>
      </c>
      <c r="H86" s="107">
        <f>L30</f>
        <v>756178891.14068305</v>
      </c>
      <c r="I86" s="108">
        <f>1/(1+EXP(((-Data!$C$17*(Calculations!L$19-Data!$C$19)))))</f>
        <v>0.62245933120185459</v>
      </c>
      <c r="J86" s="108">
        <f>1/(1+EXP(((-Data!$D$17*(Calculations!L$19-Data!$D$19)))))</f>
        <v>0.55601389054461992</v>
      </c>
      <c r="K86" s="123">
        <f>Data!H$8*1000000</f>
        <v>11333000000</v>
      </c>
      <c r="L86" s="123">
        <f>Data!H$7*1000000</f>
        <v>28333000000</v>
      </c>
      <c r="M86" s="108">
        <f t="shared" si="35"/>
        <v>0.20002117746717493</v>
      </c>
      <c r="N86" s="60"/>
    </row>
    <row r="87" spans="4:14">
      <c r="D87" s="106">
        <v>5.5</v>
      </c>
      <c r="E87" s="105">
        <v>45838</v>
      </c>
      <c r="F87" s="107">
        <f>M$15*Data!$C$18</f>
        <v>1632000000</v>
      </c>
      <c r="G87" s="107">
        <f>M23</f>
        <v>1193087600.324168</v>
      </c>
      <c r="H87" s="107">
        <f>M30</f>
        <v>1081398838.2615747</v>
      </c>
      <c r="I87" s="108">
        <f>1/(1+EXP(((-Data!$C$17*(Calculations!M$19-Data!$C$19)))))</f>
        <v>0.7310585786300049</v>
      </c>
      <c r="J87" s="108">
        <f>1/(1+EXP(((-Data!$D$17*(Calculations!M$19-Data!$D$19)))))</f>
        <v>0.66262183717008249</v>
      </c>
      <c r="K87" s="123">
        <f>Data!I$8*1000000</f>
        <v>13600000000</v>
      </c>
      <c r="L87" s="123">
        <f>Data!I$7*1000000</f>
        <v>34000000000</v>
      </c>
      <c r="M87" s="108">
        <f t="shared" si="35"/>
        <v>0.20003529515573987</v>
      </c>
      <c r="N87" s="60"/>
    </row>
    <row r="88" spans="4:14">
      <c r="K88" s="101"/>
    </row>
  </sheetData>
  <mergeCells count="13">
    <mergeCell ref="B10:D10"/>
    <mergeCell ref="B14:D14"/>
    <mergeCell ref="H2:L5"/>
    <mergeCell ref="H6:L9"/>
    <mergeCell ref="B2:D2"/>
    <mergeCell ref="B6:D6"/>
    <mergeCell ref="B71:D71"/>
    <mergeCell ref="B52:D52"/>
    <mergeCell ref="B64:D64"/>
    <mergeCell ref="B20:D20"/>
    <mergeCell ref="B27:D27"/>
    <mergeCell ref="B34:D34"/>
    <mergeCell ref="B43:D43"/>
  </mergeCells>
  <phoneticPr fontId="6" type="noConversion"/>
  <pageMargins left="0.7" right="0.7" top="0.75" bottom="0.75" header="0.3" footer="0.3"/>
  <pageSetup scale="60" orientation="landscape" horizontalDpi="0" verticalDpi="0"/>
  <rowBreaks count="1" manualBreakCount="1">
    <brk id="33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9871-E0C9-9543-98E1-A81A191AED8B}">
  <dimension ref="B4:K69"/>
  <sheetViews>
    <sheetView topLeftCell="A29" zoomScaleNormal="100" workbookViewId="0">
      <selection activeCell="C57" sqref="C57"/>
    </sheetView>
  </sheetViews>
  <sheetFormatPr baseColWidth="10" defaultRowHeight="16"/>
  <cols>
    <col min="2" max="2" width="24.1640625" bestFit="1" customWidth="1"/>
    <col min="3" max="3" width="17.33203125" bestFit="1" customWidth="1"/>
    <col min="4" max="4" width="21.1640625" bestFit="1" customWidth="1"/>
    <col min="5" max="5" width="11.1640625" bestFit="1" customWidth="1"/>
    <col min="6" max="6" width="19.33203125" bestFit="1" customWidth="1"/>
    <col min="7" max="7" width="14" bestFit="1" customWidth="1"/>
  </cols>
  <sheetData>
    <row r="4" spans="2:11">
      <c r="B4" s="1" t="s">
        <v>120</v>
      </c>
    </row>
    <row r="5" spans="2:11">
      <c r="B5" s="144" t="s">
        <v>121</v>
      </c>
      <c r="C5" s="144"/>
      <c r="D5" s="144"/>
      <c r="E5" s="144"/>
      <c r="F5" s="144"/>
      <c r="G5" s="144"/>
      <c r="H5" s="144"/>
      <c r="I5" s="144"/>
      <c r="J5" s="144"/>
      <c r="K5" s="144"/>
    </row>
    <row r="6" spans="2:11">
      <c r="B6" s="4" t="s">
        <v>37</v>
      </c>
      <c r="C6" s="4">
        <v>2018</v>
      </c>
      <c r="D6" s="4">
        <v>2019</v>
      </c>
      <c r="E6" s="4">
        <v>2020</v>
      </c>
      <c r="F6" s="4">
        <v>2021</v>
      </c>
      <c r="G6" s="4">
        <v>2022</v>
      </c>
      <c r="H6" s="4">
        <v>2023</v>
      </c>
      <c r="I6" s="4">
        <v>2024</v>
      </c>
      <c r="J6" s="4">
        <v>2025</v>
      </c>
      <c r="K6" s="4">
        <v>2026</v>
      </c>
    </row>
    <row r="7" spans="2:11">
      <c r="B7" s="5" t="s">
        <v>38</v>
      </c>
      <c r="C7" s="6">
        <v>11387</v>
      </c>
      <c r="D7" s="6">
        <v>13664</v>
      </c>
      <c r="E7" s="6">
        <v>16397</v>
      </c>
      <c r="F7" s="6">
        <v>19676</v>
      </c>
      <c r="G7" s="6">
        <v>23611</v>
      </c>
      <c r="H7" s="6">
        <v>28333</v>
      </c>
      <c r="I7" s="6">
        <v>34000</v>
      </c>
      <c r="J7" s="6">
        <v>40800</v>
      </c>
      <c r="K7" s="6">
        <v>48960</v>
      </c>
    </row>
    <row r="8" spans="2:11">
      <c r="B8" s="5" t="s">
        <v>39</v>
      </c>
      <c r="C8" s="6">
        <v>4555</v>
      </c>
      <c r="D8" s="6">
        <v>5466</v>
      </c>
      <c r="E8" s="6">
        <v>6559</v>
      </c>
      <c r="F8" s="6">
        <v>7870</v>
      </c>
      <c r="G8" s="6">
        <v>9444</v>
      </c>
      <c r="H8" s="6">
        <v>11333</v>
      </c>
      <c r="I8" s="6">
        <v>13600</v>
      </c>
      <c r="J8" s="6">
        <v>16320</v>
      </c>
      <c r="K8" s="6">
        <v>19584</v>
      </c>
    </row>
    <row r="9" spans="2:11">
      <c r="B9" s="5" t="s">
        <v>40</v>
      </c>
      <c r="C9" s="6">
        <v>150</v>
      </c>
      <c r="D9" s="6">
        <v>150</v>
      </c>
      <c r="E9" s="6">
        <v>140</v>
      </c>
      <c r="F9" s="6">
        <v>130</v>
      </c>
      <c r="G9" s="6">
        <v>120</v>
      </c>
      <c r="H9" s="6">
        <v>110</v>
      </c>
      <c r="I9" s="6">
        <v>100</v>
      </c>
      <c r="J9" s="6">
        <v>100</v>
      </c>
      <c r="K9" s="6">
        <v>100</v>
      </c>
    </row>
    <row r="10" spans="2:11">
      <c r="B10" s="5" t="s">
        <v>41</v>
      </c>
      <c r="C10" s="7">
        <v>30</v>
      </c>
      <c r="D10" s="7">
        <v>36</v>
      </c>
      <c r="E10" s="7">
        <v>47</v>
      </c>
      <c r="F10" s="7">
        <v>61</v>
      </c>
      <c r="G10" s="7">
        <v>79</v>
      </c>
      <c r="H10" s="7">
        <v>103</v>
      </c>
      <c r="I10" s="7">
        <v>136</v>
      </c>
      <c r="J10" s="7">
        <v>163</v>
      </c>
      <c r="K10" s="7">
        <v>6</v>
      </c>
    </row>
    <row r="11" spans="2:11">
      <c r="C11" s="3"/>
    </row>
    <row r="14" spans="2:11">
      <c r="B14" s="1" t="s">
        <v>118</v>
      </c>
    </row>
    <row r="15" spans="2:11">
      <c r="B15" s="144" t="s">
        <v>119</v>
      </c>
      <c r="C15" s="144"/>
      <c r="D15" s="144"/>
    </row>
    <row r="16" spans="2:11">
      <c r="B16" s="4" t="s">
        <v>44</v>
      </c>
      <c r="C16" s="4" t="s">
        <v>45</v>
      </c>
      <c r="D16" s="4" t="s">
        <v>46</v>
      </c>
    </row>
    <row r="17" spans="2:7">
      <c r="B17" s="5" t="s">
        <v>47</v>
      </c>
      <c r="C17" s="12">
        <v>0.5</v>
      </c>
      <c r="D17" s="12">
        <v>0.45</v>
      </c>
    </row>
    <row r="18" spans="2:7">
      <c r="B18" s="5" t="s">
        <v>48</v>
      </c>
      <c r="C18" s="8">
        <v>0.1</v>
      </c>
      <c r="D18" s="8">
        <v>0.1</v>
      </c>
    </row>
    <row r="19" spans="2:7">
      <c r="B19" s="5" t="s">
        <v>49</v>
      </c>
      <c r="C19" s="12">
        <v>3.5</v>
      </c>
      <c r="D19" s="12">
        <v>4</v>
      </c>
    </row>
    <row r="23" spans="2:7">
      <c r="B23" s="1" t="s">
        <v>116</v>
      </c>
    </row>
    <row r="24" spans="2:7">
      <c r="B24" s="144" t="s">
        <v>117</v>
      </c>
      <c r="C24" s="144"/>
      <c r="D24" s="144"/>
      <c r="E24" s="144"/>
      <c r="F24" s="144"/>
      <c r="G24" s="144"/>
    </row>
    <row r="25" spans="2:7">
      <c r="B25" s="4" t="s">
        <v>51</v>
      </c>
      <c r="C25" s="4" t="s">
        <v>52</v>
      </c>
      <c r="D25" s="4" t="s">
        <v>53</v>
      </c>
      <c r="E25" s="4" t="s">
        <v>54</v>
      </c>
      <c r="F25" s="4" t="s">
        <v>55</v>
      </c>
      <c r="G25" s="11" t="s">
        <v>84</v>
      </c>
    </row>
    <row r="26" spans="2:7" ht="64">
      <c r="B26" s="15" t="s">
        <v>56</v>
      </c>
      <c r="C26" s="15" t="s">
        <v>57</v>
      </c>
      <c r="D26" s="16" t="s">
        <v>58</v>
      </c>
      <c r="E26" s="15">
        <v>2017</v>
      </c>
      <c r="F26" s="15" t="s">
        <v>59</v>
      </c>
      <c r="G26" s="43"/>
    </row>
    <row r="27" spans="2:7" ht="64">
      <c r="B27" s="15" t="s">
        <v>60</v>
      </c>
      <c r="C27" s="15" t="s">
        <v>61</v>
      </c>
      <c r="D27" s="16" t="s">
        <v>62</v>
      </c>
      <c r="E27" s="15">
        <v>2016</v>
      </c>
      <c r="F27" s="15" t="s">
        <v>63</v>
      </c>
      <c r="G27" s="43"/>
    </row>
    <row r="28" spans="2:7" ht="80">
      <c r="B28" s="15" t="s">
        <v>64</v>
      </c>
      <c r="C28" s="15" t="s">
        <v>65</v>
      </c>
      <c r="D28" s="16" t="s">
        <v>66</v>
      </c>
      <c r="E28" s="15">
        <v>2018</v>
      </c>
      <c r="F28" s="15" t="s">
        <v>67</v>
      </c>
      <c r="G28" s="44">
        <v>6</v>
      </c>
    </row>
    <row r="29" spans="2:7" ht="64">
      <c r="B29" s="15" t="s">
        <v>68</v>
      </c>
      <c r="C29" s="15" t="s">
        <v>69</v>
      </c>
      <c r="D29" s="16" t="s">
        <v>70</v>
      </c>
      <c r="E29" s="15">
        <v>2017</v>
      </c>
      <c r="F29" s="15" t="s">
        <v>71</v>
      </c>
      <c r="G29" s="46">
        <v>2.5000000000000001E-2</v>
      </c>
    </row>
    <row r="33" spans="2:7">
      <c r="B33" s="1" t="s">
        <v>115</v>
      </c>
    </row>
    <row r="34" spans="2:7">
      <c r="B34" s="145" t="s">
        <v>114</v>
      </c>
      <c r="C34" s="145"/>
      <c r="D34" s="145"/>
      <c r="E34" s="145"/>
      <c r="F34" s="145"/>
      <c r="G34" s="28"/>
    </row>
    <row r="35" spans="2:7">
      <c r="B35" s="4" t="s">
        <v>75</v>
      </c>
      <c r="C35" s="146" t="s">
        <v>76</v>
      </c>
      <c r="D35" s="146"/>
      <c r="E35" s="146"/>
      <c r="F35" s="4" t="s">
        <v>109</v>
      </c>
      <c r="G35" s="29"/>
    </row>
    <row r="36" spans="2:7" ht="49" customHeight="1">
      <c r="B36" s="15" t="s">
        <v>77</v>
      </c>
      <c r="C36" s="147" t="s">
        <v>78</v>
      </c>
      <c r="D36" s="147"/>
      <c r="E36" s="147"/>
      <c r="F36" s="19">
        <v>30000</v>
      </c>
      <c r="G36" s="30"/>
    </row>
    <row r="37" spans="2:7" ht="49" customHeight="1">
      <c r="B37" s="15" t="s">
        <v>79</v>
      </c>
      <c r="C37" s="147" t="s">
        <v>80</v>
      </c>
      <c r="D37" s="147"/>
      <c r="E37" s="147"/>
      <c r="F37" s="19">
        <v>10000</v>
      </c>
      <c r="G37" s="30"/>
    </row>
    <row r="38" spans="2:7" ht="49" customHeight="1">
      <c r="B38" s="15" t="s">
        <v>81</v>
      </c>
      <c r="C38" s="147" t="s">
        <v>82</v>
      </c>
      <c r="D38" s="147"/>
      <c r="E38" s="147"/>
      <c r="F38" s="19">
        <v>200000</v>
      </c>
      <c r="G38" s="30"/>
    </row>
    <row r="42" spans="2:7">
      <c r="B42" s="1" t="s">
        <v>112</v>
      </c>
    </row>
    <row r="43" spans="2:7">
      <c r="B43" s="148" t="s">
        <v>113</v>
      </c>
      <c r="C43" s="149"/>
      <c r="D43" s="149"/>
      <c r="E43" s="150"/>
    </row>
    <row r="44" spans="2:7">
      <c r="B44" s="4" t="s">
        <v>75</v>
      </c>
      <c r="C44" s="4" t="s">
        <v>85</v>
      </c>
      <c r="D44" s="4" t="s">
        <v>76</v>
      </c>
      <c r="E44" s="11" t="s">
        <v>84</v>
      </c>
    </row>
    <row r="45" spans="2:7">
      <c r="B45" s="5" t="s">
        <v>89</v>
      </c>
      <c r="C45" s="10" t="s">
        <v>92</v>
      </c>
      <c r="D45" s="121">
        <v>35</v>
      </c>
      <c r="E45" s="119">
        <f>D45*1000000</f>
        <v>35000000</v>
      </c>
    </row>
    <row r="46" spans="2:7" ht="32">
      <c r="B46" s="10" t="s">
        <v>90</v>
      </c>
      <c r="C46" s="10" t="s">
        <v>92</v>
      </c>
      <c r="D46" s="121">
        <v>20</v>
      </c>
      <c r="E46" s="119">
        <f>D46*1000000</f>
        <v>20000000</v>
      </c>
    </row>
    <row r="47" spans="2:7" ht="32">
      <c r="B47" s="10" t="s">
        <v>91</v>
      </c>
      <c r="C47" s="10" t="s">
        <v>106</v>
      </c>
      <c r="D47" s="121">
        <v>10</v>
      </c>
      <c r="E47" s="119">
        <v>10000000</v>
      </c>
    </row>
    <row r="48" spans="2:7">
      <c r="B48" s="10" t="s">
        <v>86</v>
      </c>
      <c r="C48" s="10" t="s">
        <v>107</v>
      </c>
      <c r="D48" s="122" t="s">
        <v>87</v>
      </c>
      <c r="E48" s="120">
        <v>0.9</v>
      </c>
    </row>
    <row r="49" spans="2:5" ht="32">
      <c r="B49" s="10" t="s">
        <v>235</v>
      </c>
      <c r="C49" s="10" t="s">
        <v>88</v>
      </c>
      <c r="D49" s="121">
        <v>5</v>
      </c>
      <c r="E49" s="119">
        <f>D49*1000000</f>
        <v>5000000</v>
      </c>
    </row>
    <row r="50" spans="2:5">
      <c r="B50" s="9"/>
      <c r="C50" s="2"/>
      <c r="D50" s="13"/>
    </row>
    <row r="53" spans="2:5">
      <c r="B53" s="1" t="s">
        <v>143</v>
      </c>
    </row>
    <row r="54" spans="2:5">
      <c r="B54" s="144" t="s">
        <v>144</v>
      </c>
      <c r="C54" s="144"/>
    </row>
    <row r="55" spans="2:5">
      <c r="B55" s="4" t="s">
        <v>25</v>
      </c>
      <c r="C55" s="4" t="s">
        <v>83</v>
      </c>
    </row>
    <row r="56" spans="2:5">
      <c r="B56" s="5" t="s">
        <v>95</v>
      </c>
      <c r="C56" s="8">
        <v>0.21</v>
      </c>
    </row>
    <row r="57" spans="2:5">
      <c r="B57" s="5" t="s">
        <v>96</v>
      </c>
      <c r="C57" s="8">
        <v>0.1</v>
      </c>
    </row>
    <row r="58" spans="2:5">
      <c r="B58" s="5" t="s">
        <v>97</v>
      </c>
      <c r="C58" s="8">
        <v>0.25</v>
      </c>
    </row>
    <row r="69" spans="2:2">
      <c r="B69" s="36">
        <f>1/(1+EXP(-0.5*(1-4)))</f>
        <v>0.18242552380635635</v>
      </c>
    </row>
  </sheetData>
  <mergeCells count="10">
    <mergeCell ref="B43:E43"/>
    <mergeCell ref="B54:C54"/>
    <mergeCell ref="C37:E37"/>
    <mergeCell ref="C36:E36"/>
    <mergeCell ref="B24:G24"/>
    <mergeCell ref="B5:K5"/>
    <mergeCell ref="B15:D15"/>
    <mergeCell ref="B34:F34"/>
    <mergeCell ref="C35:E35"/>
    <mergeCell ref="C38:E38"/>
  </mergeCells>
  <pageMargins left="0.7" right="0.7" top="0.75" bottom="0.75" header="0.3" footer="0.3"/>
  <pageSetup scale="71" orientation="landscape" horizontalDpi="0" verticalDpi="0"/>
  <rowBreaks count="1" manualBreakCount="1">
    <brk id="2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92D4-DF32-D94A-AE3A-EF4B40295BA4}">
  <dimension ref="A1:N45"/>
  <sheetViews>
    <sheetView zoomScaleNormal="100" workbookViewId="0">
      <selection activeCell="C46" sqref="C46"/>
    </sheetView>
  </sheetViews>
  <sheetFormatPr baseColWidth="10" defaultRowHeight="16"/>
  <cols>
    <col min="2" max="3" width="12.83203125" bestFit="1" customWidth="1"/>
    <col min="4" max="14" width="7.1640625" bestFit="1" customWidth="1"/>
  </cols>
  <sheetData>
    <row r="1" spans="1:14">
      <c r="C1" s="1" t="s">
        <v>250</v>
      </c>
      <c r="D1">
        <v>1</v>
      </c>
    </row>
    <row r="2" spans="1:14">
      <c r="C2" s="1" t="s">
        <v>249</v>
      </c>
      <c r="D2">
        <v>0.1</v>
      </c>
    </row>
    <row r="3" spans="1:14">
      <c r="A3" s="36"/>
      <c r="C3" s="1" t="s">
        <v>251</v>
      </c>
      <c r="D3">
        <v>0.5</v>
      </c>
    </row>
    <row r="4" spans="1:14">
      <c r="C4" s="1" t="s">
        <v>248</v>
      </c>
      <c r="D4">
        <v>4</v>
      </c>
    </row>
    <row r="6" spans="1:14">
      <c r="C6" s="1" t="s">
        <v>54</v>
      </c>
      <c r="D6" s="136">
        <v>2021</v>
      </c>
      <c r="E6" s="136">
        <v>2022</v>
      </c>
      <c r="F6" s="136">
        <v>2023</v>
      </c>
      <c r="G6" s="136">
        <v>2024</v>
      </c>
      <c r="H6" s="136">
        <v>2025</v>
      </c>
      <c r="I6" s="136">
        <v>2026</v>
      </c>
      <c r="J6" s="136">
        <v>2027</v>
      </c>
      <c r="K6" s="136">
        <v>2028</v>
      </c>
      <c r="L6" s="136">
        <v>2029</v>
      </c>
      <c r="M6" s="136">
        <v>2030</v>
      </c>
      <c r="N6" s="136">
        <v>2031</v>
      </c>
    </row>
    <row r="7" spans="1:14">
      <c r="C7" s="1" t="s">
        <v>232</v>
      </c>
      <c r="D7" s="136">
        <v>1</v>
      </c>
      <c r="E7" s="136">
        <v>2</v>
      </c>
      <c r="F7" s="136">
        <v>3</v>
      </c>
      <c r="G7" s="136">
        <v>4</v>
      </c>
      <c r="H7" s="136">
        <v>5</v>
      </c>
      <c r="I7" s="136">
        <v>6</v>
      </c>
      <c r="J7" s="136">
        <v>7</v>
      </c>
      <c r="K7" s="136">
        <v>8</v>
      </c>
      <c r="L7" s="136">
        <v>9</v>
      </c>
      <c r="M7" s="136">
        <v>10</v>
      </c>
      <c r="N7" s="136">
        <v>11</v>
      </c>
    </row>
    <row r="8" spans="1:14">
      <c r="C8" s="1" t="s">
        <v>251</v>
      </c>
      <c r="D8" s="36">
        <f>1/(1+EXP(-$D$3*(D$7-$D$4)))</f>
        <v>0.18242552380635635</v>
      </c>
      <c r="E8" s="36">
        <f t="shared" ref="E8:N8" si="0">1/(1+EXP(-$D$3*(E$7-$D$4)))</f>
        <v>0.2689414213699951</v>
      </c>
      <c r="F8" s="36">
        <f t="shared" si="0"/>
        <v>0.37754066879814541</v>
      </c>
      <c r="G8" s="36">
        <f t="shared" si="0"/>
        <v>0.5</v>
      </c>
      <c r="H8" s="36">
        <f t="shared" si="0"/>
        <v>0.62245933120185459</v>
      </c>
      <c r="I8" s="36">
        <f t="shared" si="0"/>
        <v>0.7310585786300049</v>
      </c>
      <c r="J8" s="36">
        <f t="shared" si="0"/>
        <v>0.81757447619364365</v>
      </c>
      <c r="K8" s="36">
        <f t="shared" si="0"/>
        <v>0.88079707797788231</v>
      </c>
      <c r="L8" s="36">
        <f t="shared" si="0"/>
        <v>0.92414181997875655</v>
      </c>
      <c r="M8" s="36">
        <f t="shared" si="0"/>
        <v>0.95257412682243336</v>
      </c>
      <c r="N8" s="36">
        <f t="shared" si="0"/>
        <v>0.97068776924864364</v>
      </c>
    </row>
    <row r="9" spans="1:14">
      <c r="C9" s="1" t="s">
        <v>252</v>
      </c>
      <c r="D9" s="36">
        <f>1/(1+EXP($D$1*(D$7-$D$4)))</f>
        <v>0.95257412682243336</v>
      </c>
      <c r="E9" s="36">
        <f t="shared" ref="E9:N9" si="1">1/(1+EXP($D$1*(E$7-$D$4)))</f>
        <v>0.88079707797788231</v>
      </c>
      <c r="F9" s="36">
        <f t="shared" si="1"/>
        <v>0.7310585786300049</v>
      </c>
      <c r="G9" s="36">
        <f t="shared" si="1"/>
        <v>0.5</v>
      </c>
      <c r="H9" s="36">
        <f t="shared" si="1"/>
        <v>0.2689414213699951</v>
      </c>
      <c r="I9" s="36">
        <f t="shared" si="1"/>
        <v>0.11920292202211755</v>
      </c>
      <c r="J9" s="36">
        <f t="shared" si="1"/>
        <v>4.7425873177566781E-2</v>
      </c>
      <c r="K9" s="36">
        <f t="shared" si="1"/>
        <v>1.7986209962091559E-2</v>
      </c>
      <c r="L9" s="36">
        <f t="shared" si="1"/>
        <v>6.6928509242848554E-3</v>
      </c>
      <c r="M9" s="36">
        <f t="shared" si="1"/>
        <v>2.4726231566347743E-3</v>
      </c>
      <c r="N9" s="36">
        <f t="shared" si="1"/>
        <v>9.1105119440064539E-4</v>
      </c>
    </row>
    <row r="10" spans="1:14">
      <c r="C10" s="1" t="s">
        <v>250</v>
      </c>
      <c r="D10" s="36">
        <f>1/(1+EXP(-$D$1*(D$7-$D$4)))</f>
        <v>4.7425873177566781E-2</v>
      </c>
      <c r="E10" s="36">
        <f t="shared" ref="E10:N10" si="2">1/(1+EXP(-$D$1*(E$7-$D$4)))</f>
        <v>0.11920292202211755</v>
      </c>
      <c r="F10" s="36">
        <f t="shared" si="2"/>
        <v>0.2689414213699951</v>
      </c>
      <c r="G10" s="36">
        <f t="shared" si="2"/>
        <v>0.5</v>
      </c>
      <c r="H10" s="36">
        <f t="shared" si="2"/>
        <v>0.7310585786300049</v>
      </c>
      <c r="I10" s="36">
        <f t="shared" si="2"/>
        <v>0.88079707797788231</v>
      </c>
      <c r="J10" s="36">
        <f t="shared" si="2"/>
        <v>0.95257412682243336</v>
      </c>
      <c r="K10" s="36">
        <f t="shared" si="2"/>
        <v>0.98201379003790845</v>
      </c>
      <c r="L10" s="36">
        <f t="shared" si="2"/>
        <v>0.99330714907571527</v>
      </c>
      <c r="M10" s="36">
        <f t="shared" si="2"/>
        <v>0.99752737684336534</v>
      </c>
      <c r="N10" s="36">
        <f t="shared" si="2"/>
        <v>0.9990889488055994</v>
      </c>
    </row>
    <row r="14" spans="1:14"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</row>
    <row r="15" spans="1:14"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</row>
    <row r="16" spans="1:14"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45" spans="3:14">
      <c r="C45" s="1" t="s">
        <v>54</v>
      </c>
      <c r="D45" s="136">
        <v>2021</v>
      </c>
      <c r="E45" s="136">
        <v>2022</v>
      </c>
      <c r="F45" s="136">
        <v>2023</v>
      </c>
      <c r="G45" s="136">
        <v>2024</v>
      </c>
      <c r="H45" s="136">
        <v>2025</v>
      </c>
      <c r="I45" s="136">
        <v>2026</v>
      </c>
      <c r="J45" s="136">
        <v>2027</v>
      </c>
      <c r="K45" s="136">
        <v>2028</v>
      </c>
      <c r="L45" s="136">
        <v>2029</v>
      </c>
      <c r="M45" s="136">
        <v>2030</v>
      </c>
      <c r="N45" s="136">
        <v>2031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27B8-EE4E-2B4D-A4A6-BEEC051EE944}">
  <dimension ref="A1:P120"/>
  <sheetViews>
    <sheetView tabSelected="1" topLeftCell="A65" zoomScaleNormal="100" workbookViewId="0">
      <selection activeCell="C78" sqref="C78"/>
    </sheetView>
  </sheetViews>
  <sheetFormatPr baseColWidth="10" defaultRowHeight="16"/>
  <cols>
    <col min="1" max="1" width="12.6640625" bestFit="1" customWidth="1"/>
    <col min="2" max="2" width="12.83203125" bestFit="1" customWidth="1"/>
    <col min="3" max="3" width="20.83203125" customWidth="1"/>
    <col min="4" max="4" width="20.1640625" bestFit="1" customWidth="1"/>
    <col min="5" max="5" width="11.6640625" bestFit="1" customWidth="1"/>
    <col min="6" max="6" width="11" bestFit="1" customWidth="1"/>
    <col min="7" max="7" width="10" bestFit="1" customWidth="1"/>
    <col min="8" max="8" width="13" bestFit="1" customWidth="1"/>
    <col min="9" max="9" width="10" bestFit="1" customWidth="1"/>
    <col min="10" max="10" width="13.1640625" bestFit="1" customWidth="1"/>
    <col min="11" max="11" width="10" bestFit="1" customWidth="1"/>
    <col min="12" max="12" width="12.83203125" bestFit="1" customWidth="1"/>
    <col min="13" max="13" width="10" bestFit="1" customWidth="1"/>
    <col min="14" max="14" width="10.6640625" bestFit="1" customWidth="1"/>
  </cols>
  <sheetData>
    <row r="1" spans="1:16">
      <c r="A1" s="170" t="s">
        <v>253</v>
      </c>
      <c r="B1" s="171">
        <v>0.1</v>
      </c>
      <c r="C1" s="1" t="s">
        <v>324</v>
      </c>
      <c r="D1" s="35">
        <v>55000</v>
      </c>
      <c r="F1" s="1" t="s">
        <v>305</v>
      </c>
      <c r="G1" s="35">
        <v>25000</v>
      </c>
      <c r="H1" s="1" t="s">
        <v>269</v>
      </c>
      <c r="I1" s="35">
        <v>5000</v>
      </c>
      <c r="J1" s="1" t="s">
        <v>275</v>
      </c>
      <c r="K1" s="35">
        <v>20500</v>
      </c>
      <c r="L1" s="1" t="s">
        <v>298</v>
      </c>
      <c r="M1" s="35">
        <v>28015</v>
      </c>
    </row>
    <row r="2" spans="1:16">
      <c r="A2" s="31"/>
      <c r="B2" s="172"/>
      <c r="C2" s="1" t="s">
        <v>312</v>
      </c>
      <c r="D2" s="35">
        <v>250000</v>
      </c>
      <c r="F2" s="1" t="s">
        <v>306</v>
      </c>
      <c r="G2" s="35">
        <v>25000</v>
      </c>
      <c r="H2" s="1" t="s">
        <v>270</v>
      </c>
      <c r="I2" s="35">
        <v>5000</v>
      </c>
      <c r="J2" s="1" t="s">
        <v>276</v>
      </c>
      <c r="K2" s="35">
        <v>20500</v>
      </c>
      <c r="L2" s="1" t="s">
        <v>299</v>
      </c>
      <c r="M2" s="35">
        <v>35985</v>
      </c>
    </row>
    <row r="3" spans="1:16">
      <c r="A3" s="170" t="s">
        <v>325</v>
      </c>
      <c r="B3" s="173">
        <v>44075</v>
      </c>
      <c r="C3" s="1" t="s">
        <v>313</v>
      </c>
      <c r="D3" s="35">
        <v>65000</v>
      </c>
      <c r="N3" s="35"/>
      <c r="P3" s="35"/>
    </row>
    <row r="4" spans="1:16">
      <c r="C4" s="1"/>
      <c r="D4" s="35"/>
      <c r="N4" s="35"/>
      <c r="P4" s="35"/>
    </row>
    <row r="5" spans="1:16">
      <c r="C5" s="1" t="s">
        <v>260</v>
      </c>
      <c r="D5" s="153">
        <v>2.9000000000000001E-2</v>
      </c>
      <c r="F5" s="1" t="s">
        <v>307</v>
      </c>
      <c r="G5" s="35">
        <v>10000</v>
      </c>
      <c r="H5" s="1" t="s">
        <v>269</v>
      </c>
      <c r="I5" s="35">
        <v>5000</v>
      </c>
      <c r="J5" s="1" t="s">
        <v>275</v>
      </c>
      <c r="K5" s="35">
        <v>20500</v>
      </c>
      <c r="L5" s="1" t="s">
        <v>298</v>
      </c>
      <c r="M5" s="35">
        <v>10707</v>
      </c>
      <c r="N5" s="35"/>
      <c r="P5" s="35"/>
    </row>
    <row r="6" spans="1:16">
      <c r="B6" s="169"/>
      <c r="C6" s="1" t="s">
        <v>264</v>
      </c>
      <c r="D6" s="154">
        <v>1.9E-2</v>
      </c>
      <c r="F6" s="1" t="s">
        <v>308</v>
      </c>
      <c r="G6" s="35">
        <v>10000</v>
      </c>
      <c r="H6" s="1" t="s">
        <v>270</v>
      </c>
      <c r="I6" s="35">
        <v>5000</v>
      </c>
      <c r="J6" s="1" t="s">
        <v>276</v>
      </c>
      <c r="K6" s="35">
        <v>20500</v>
      </c>
      <c r="L6" s="1" t="s">
        <v>299</v>
      </c>
      <c r="M6" s="35">
        <v>16014</v>
      </c>
    </row>
    <row r="7" spans="1:16">
      <c r="C7" s="1"/>
      <c r="D7" s="153"/>
      <c r="J7" s="1"/>
      <c r="K7" s="36"/>
      <c r="L7" s="1"/>
      <c r="M7" s="36"/>
    </row>
    <row r="8" spans="1:16" ht="16" customHeight="1">
      <c r="C8" s="1" t="s">
        <v>265</v>
      </c>
      <c r="D8" s="35">
        <v>1500</v>
      </c>
      <c r="H8" s="168" t="s">
        <v>317</v>
      </c>
      <c r="I8" s="168"/>
      <c r="J8" s="167">
        <v>0.1258</v>
      </c>
      <c r="K8" s="168" t="s">
        <v>318</v>
      </c>
      <c r="L8" s="168"/>
      <c r="M8" s="167">
        <v>0.13335673469387799</v>
      </c>
    </row>
    <row r="9" spans="1:16">
      <c r="C9" s="1" t="s">
        <v>266</v>
      </c>
      <c r="D9" s="35">
        <v>1100</v>
      </c>
      <c r="H9" s="168"/>
      <c r="I9" s="168"/>
      <c r="J9" s="167"/>
      <c r="K9" s="168"/>
      <c r="L9" s="168"/>
      <c r="M9" s="167"/>
    </row>
    <row r="10" spans="1:16">
      <c r="C10" s="1" t="s">
        <v>323</v>
      </c>
      <c r="D10" s="35">
        <v>10000</v>
      </c>
    </row>
    <row r="11" spans="1:16">
      <c r="C11" s="1"/>
      <c r="D11" s="153"/>
      <c r="E11" s="169"/>
      <c r="F11" s="169"/>
      <c r="G11" s="169"/>
      <c r="H11" s="169"/>
      <c r="I11" s="169"/>
      <c r="J11" s="169"/>
      <c r="K11" s="169"/>
      <c r="L11" s="169"/>
      <c r="M11" s="169"/>
      <c r="N11" s="169"/>
    </row>
    <row r="12" spans="1:16">
      <c r="C12" s="1" t="s">
        <v>54</v>
      </c>
      <c r="D12" s="166">
        <f>$B$3+DATE(0,6,28)</f>
        <v>44255</v>
      </c>
      <c r="E12" s="169">
        <f>D12+DATE(0,12,30)</f>
        <v>44620</v>
      </c>
      <c r="F12" s="169">
        <f t="shared" ref="F12:N12" si="0">E12+DATE(0,12,30)</f>
        <v>44985</v>
      </c>
      <c r="G12" s="169">
        <f t="shared" si="0"/>
        <v>45350</v>
      </c>
      <c r="H12" s="169">
        <f t="shared" si="0"/>
        <v>45715</v>
      </c>
      <c r="I12" s="169">
        <f t="shared" si="0"/>
        <v>46080</v>
      </c>
      <c r="J12" s="169">
        <f t="shared" si="0"/>
        <v>46445</v>
      </c>
      <c r="K12" s="169">
        <f t="shared" si="0"/>
        <v>46810</v>
      </c>
      <c r="L12" s="169">
        <f t="shared" si="0"/>
        <v>47175</v>
      </c>
      <c r="M12" s="169">
        <f t="shared" si="0"/>
        <v>47540</v>
      </c>
      <c r="N12" s="169">
        <f t="shared" si="0"/>
        <v>47905</v>
      </c>
    </row>
    <row r="13" spans="1:16">
      <c r="C13" s="1" t="s">
        <v>304</v>
      </c>
      <c r="D13" s="136">
        <v>1</v>
      </c>
      <c r="E13" s="136">
        <v>2</v>
      </c>
      <c r="F13" s="136">
        <v>3</v>
      </c>
      <c r="G13" s="136">
        <v>4</v>
      </c>
      <c r="H13" s="136">
        <v>5</v>
      </c>
      <c r="I13" s="136">
        <v>6</v>
      </c>
      <c r="J13" s="136">
        <v>7</v>
      </c>
      <c r="K13" s="136">
        <v>8</v>
      </c>
      <c r="L13" s="136">
        <v>9</v>
      </c>
      <c r="M13" s="136">
        <v>10</v>
      </c>
      <c r="N13" s="136">
        <v>11</v>
      </c>
    </row>
    <row r="14" spans="1:16">
      <c r="A14" s="1" t="s">
        <v>314</v>
      </c>
      <c r="B14" s="156">
        <f>XNPV($B$1,D14:N14,$D$12:$N$12)</f>
        <v>104573.49779233761</v>
      </c>
      <c r="C14" s="1" t="s">
        <v>302</v>
      </c>
      <c r="D14" s="156">
        <f>D25</f>
        <v>11700</v>
      </c>
      <c r="E14" s="156">
        <f t="shared" ref="E14:N14" si="1">E25</f>
        <v>12351.299999999996</v>
      </c>
      <c r="F14" s="156">
        <f t="shared" si="1"/>
        <v>13027.415699999992</v>
      </c>
      <c r="G14" s="156">
        <f t="shared" si="1"/>
        <v>13729.179387299993</v>
      </c>
      <c r="H14" s="156">
        <f t="shared" si="1"/>
        <v>14457.449625539693</v>
      </c>
      <c r="I14" s="156">
        <f t="shared" si="1"/>
        <v>15213.1120573725</v>
      </c>
      <c r="J14" s="156">
        <f t="shared" si="1"/>
        <v>15997.080231189597</v>
      </c>
      <c r="K14" s="156">
        <f t="shared" si="1"/>
        <v>16810.296452606308</v>
      </c>
      <c r="L14" s="156">
        <f t="shared" si="1"/>
        <v>17653.732661443639</v>
      </c>
      <c r="M14" s="156">
        <f t="shared" si="1"/>
        <v>18528.391334959771</v>
      </c>
      <c r="N14" s="156">
        <f t="shared" si="1"/>
        <v>19435.306418108219</v>
      </c>
    </row>
    <row r="15" spans="1:16">
      <c r="A15" s="1" t="s">
        <v>315</v>
      </c>
      <c r="B15" s="156">
        <f>XNPV($B$1,D15:N15,$D$12:$N$12)</f>
        <v>732514.89465049049</v>
      </c>
      <c r="C15" s="1" t="s">
        <v>303</v>
      </c>
      <c r="D15" s="156">
        <f>D43</f>
        <v>0.11107755100601935</v>
      </c>
      <c r="E15" s="156">
        <f t="shared" ref="E15:N15" si="2">E43</f>
        <v>-0.43102040819576359</v>
      </c>
      <c r="F15" s="156">
        <f t="shared" si="2"/>
        <v>123910.5057795918</v>
      </c>
      <c r="G15" s="156">
        <f t="shared" si="2"/>
        <v>128224.96537879181</v>
      </c>
      <c r="H15" s="156">
        <f t="shared" si="2"/>
        <v>132670.69971037656</v>
      </c>
      <c r="I15" s="156">
        <f t="shared" si="2"/>
        <v>137251.6326942615</v>
      </c>
      <c r="J15" s="156">
        <f t="shared" si="2"/>
        <v>141971.80426614021</v>
      </c>
      <c r="K15" s="156">
        <f t="shared" si="2"/>
        <v>146835.37378416231</v>
      </c>
      <c r="L15" s="156">
        <f t="shared" si="2"/>
        <v>151846.62353520657</v>
      </c>
      <c r="M15" s="156">
        <f t="shared" si="2"/>
        <v>157009.96234365369</v>
      </c>
      <c r="N15" s="156">
        <f t="shared" si="2"/>
        <v>168644.81820809509</v>
      </c>
    </row>
    <row r="16" spans="1:16">
      <c r="A16" s="1" t="s">
        <v>316</v>
      </c>
      <c r="B16" s="156">
        <f>XNPV($B$1,D16:N16,$D$12:$N$12)</f>
        <v>67476.634310799855</v>
      </c>
      <c r="C16" s="1" t="s">
        <v>309</v>
      </c>
      <c r="D16" s="156">
        <f>D61</f>
        <v>0.24944163264626695</v>
      </c>
      <c r="E16" s="156">
        <f t="shared" ref="E16:N16" si="3">E61</f>
        <v>-2.5307755118774367E-2</v>
      </c>
      <c r="F16" s="156">
        <f t="shared" si="3"/>
        <v>9581.9114922448789</v>
      </c>
      <c r="G16" s="156">
        <f t="shared" si="3"/>
        <v>10436.671091444881</v>
      </c>
      <c r="H16" s="156">
        <f t="shared" si="3"/>
        <v>11322.37412302968</v>
      </c>
      <c r="I16" s="156">
        <f t="shared" si="3"/>
        <v>12240.034899214595</v>
      </c>
      <c r="J16" s="156">
        <f t="shared" si="3"/>
        <v>13190.699369370015</v>
      </c>
      <c r="K16" s="156">
        <f t="shared" si="3"/>
        <v>14175.446079718855</v>
      </c>
      <c r="L16" s="156">
        <f t="shared" si="3"/>
        <v>15195.387161667353</v>
      </c>
      <c r="M16" s="156">
        <f t="shared" si="3"/>
        <v>16251.669349614876</v>
      </c>
      <c r="N16" s="156">
        <f t="shared" si="3"/>
        <v>19924.37502911322</v>
      </c>
    </row>
    <row r="17" spans="3:14">
      <c r="C17" s="1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3:14">
      <c r="C18" s="1"/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spans="3:14">
      <c r="C19" s="40" t="s">
        <v>319</v>
      </c>
      <c r="D19" s="156"/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spans="3:14">
      <c r="C20" s="152" t="s">
        <v>254</v>
      </c>
      <c r="D20" s="156">
        <f>-(D8*12)</f>
        <v>-18000</v>
      </c>
      <c r="E20" s="156">
        <f>D20*(1+$D$6)</f>
        <v>-18342</v>
      </c>
      <c r="F20" s="156">
        <f t="shared" ref="F20:N20" si="4">E20*(1+$D$6)</f>
        <v>-18690.498</v>
      </c>
      <c r="G20" s="156">
        <f t="shared" si="4"/>
        <v>-19045.617461999998</v>
      </c>
      <c r="H20" s="156">
        <f t="shared" si="4"/>
        <v>-19407.484193777997</v>
      </c>
      <c r="I20" s="156">
        <f t="shared" si="4"/>
        <v>-19776.226393459776</v>
      </c>
      <c r="J20" s="156">
        <f t="shared" si="4"/>
        <v>-20151.97469493551</v>
      </c>
      <c r="K20" s="156">
        <f t="shared" si="4"/>
        <v>-20534.862214139284</v>
      </c>
      <c r="L20" s="156">
        <f t="shared" si="4"/>
        <v>-20925.024596207928</v>
      </c>
      <c r="M20" s="156">
        <f t="shared" si="4"/>
        <v>-21322.600063535876</v>
      </c>
      <c r="N20" s="156">
        <f t="shared" si="4"/>
        <v>-21727.729464743057</v>
      </c>
    </row>
    <row r="21" spans="3:14">
      <c r="C21" s="54" t="s">
        <v>255</v>
      </c>
      <c r="D21" s="156">
        <f>-(D9*12)</f>
        <v>-13200</v>
      </c>
      <c r="E21" s="156">
        <f>D21*(1+$D$6)</f>
        <v>-13450.8</v>
      </c>
      <c r="F21" s="156">
        <f t="shared" ref="F21:N21" si="5">E21*(1+$D$6)</f>
        <v>-13706.365199999998</v>
      </c>
      <c r="G21" s="156">
        <f t="shared" si="5"/>
        <v>-13966.786138799996</v>
      </c>
      <c r="H21" s="156">
        <f t="shared" si="5"/>
        <v>-14232.155075437195</v>
      </c>
      <c r="I21" s="156">
        <f t="shared" si="5"/>
        <v>-14502.5660218705</v>
      </c>
      <c r="J21" s="156">
        <f t="shared" si="5"/>
        <v>-14778.114776286038</v>
      </c>
      <c r="K21" s="156">
        <f t="shared" si="5"/>
        <v>-15058.898957035472</v>
      </c>
      <c r="L21" s="156">
        <f t="shared" si="5"/>
        <v>-15345.018037219144</v>
      </c>
      <c r="M21" s="156">
        <f t="shared" si="5"/>
        <v>-15636.573379926307</v>
      </c>
      <c r="N21" s="156">
        <f t="shared" si="5"/>
        <v>-15933.668274144906</v>
      </c>
    </row>
    <row r="22" spans="3:14">
      <c r="C22" s="54" t="s">
        <v>256</v>
      </c>
      <c r="D22" s="35">
        <f>D1</f>
        <v>55000</v>
      </c>
      <c r="E22" s="156">
        <f>D22*(1+$D$5)</f>
        <v>56594.999999999993</v>
      </c>
      <c r="F22" s="156">
        <f t="shared" ref="F22:N22" si="6">E22*(1+$D$5)</f>
        <v>58236.25499999999</v>
      </c>
      <c r="G22" s="156">
        <f t="shared" si="6"/>
        <v>59925.106394999988</v>
      </c>
      <c r="H22" s="156">
        <f t="shared" si="6"/>
        <v>61662.934480454984</v>
      </c>
      <c r="I22" s="156">
        <f t="shared" si="6"/>
        <v>63451.159580388172</v>
      </c>
      <c r="J22" s="156">
        <f t="shared" si="6"/>
        <v>65291.243208219421</v>
      </c>
      <c r="K22" s="156">
        <f t="shared" si="6"/>
        <v>67184.689261257779</v>
      </c>
      <c r="L22" s="156">
        <f t="shared" si="6"/>
        <v>69133.045249834249</v>
      </c>
      <c r="M22" s="156">
        <f t="shared" si="6"/>
        <v>71137.903562079431</v>
      </c>
      <c r="N22" s="156">
        <f t="shared" si="6"/>
        <v>73200.902765379724</v>
      </c>
    </row>
    <row r="23" spans="3:14">
      <c r="C23" s="54" t="s">
        <v>128</v>
      </c>
      <c r="D23" s="156">
        <f t="shared" ref="D23" si="7">-(IF(D22&lt;=10000,D22*10%,IF(D22&lt;=85525,D22*22%,IF(D22&lt;=518400,D22*32%,"poop"))))</f>
        <v>-12100</v>
      </c>
      <c r="E23" s="156">
        <f t="shared" ref="E23" si="8">-(IF(E22&lt;=10000,E22*10%,IF(E22&lt;=85525,E22*22%,IF(E22&lt;=518400,E22*32%,"poop"))))</f>
        <v>-12450.899999999998</v>
      </c>
      <c r="F23" s="156">
        <f t="shared" ref="F23" si="9">-(IF(F22&lt;=10000,F22*10%,IF(F22&lt;=85525,F22*22%,IF(F22&lt;=518400,F22*32%,"poop"))))</f>
        <v>-12811.976099999998</v>
      </c>
      <c r="G23" s="156">
        <f t="shared" ref="G23" si="10">-(IF(G22&lt;=10000,G22*10%,IF(G22&lt;=85525,G22*22%,IF(G22&lt;=518400,G22*32%,"poop"))))</f>
        <v>-13183.523406899998</v>
      </c>
      <c r="H23" s="156">
        <f t="shared" ref="H23" si="11">-(IF(H22&lt;=10000,H22*10%,IF(H22&lt;=85525,H22*22%,IF(H22&lt;=518400,H22*32%,"poop"))))</f>
        <v>-13565.845585700097</v>
      </c>
      <c r="I23" s="156">
        <f t="shared" ref="I23" si="12">-(IF(I22&lt;=10000,I22*10%,IF(I22&lt;=85525,I22*22%,IF(I22&lt;=518400,I22*32%,"poop"))))</f>
        <v>-13959.255107685398</v>
      </c>
      <c r="J23" s="156">
        <f t="shared" ref="J23" si="13">-(IF(J22&lt;=10000,J22*10%,IF(J22&lt;=85525,J22*22%,IF(J22&lt;=518400,J22*32%,"poop"))))</f>
        <v>-14364.073505808272</v>
      </c>
      <c r="K23" s="156">
        <f t="shared" ref="K23" si="14">-(IF(K22&lt;=10000,K22*10%,IF(K22&lt;=85525,K22*22%,IF(K22&lt;=518400,K22*32%,"poop"))))</f>
        <v>-14780.631637476712</v>
      </c>
      <c r="L23" s="156">
        <f t="shared" ref="L23" si="15">-(IF(L22&lt;=10000,L22*10%,IF(L22&lt;=85525,L22*22%,IF(L22&lt;=518400,L22*32%,"poop"))))</f>
        <v>-15209.269954963534</v>
      </c>
      <c r="M23" s="156">
        <f t="shared" ref="M23" si="16">-(IF(M22&lt;=10000,M22*10%,IF(M22&lt;=85525,M22*22%,IF(M22&lt;=518400,M22*32%,"poop"))))</f>
        <v>-15650.338783657475</v>
      </c>
      <c r="N23" s="156">
        <f t="shared" ref="N23" si="17">-(IF(N22&lt;=10000,N22*10%,IF(N22&lt;=85525,N22*22%,IF(N22&lt;=518400,N22*32%,"poop"))))</f>
        <v>-16104.19860838354</v>
      </c>
    </row>
    <row r="24" spans="3:14"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</row>
    <row r="25" spans="3:14">
      <c r="C25" s="1" t="s">
        <v>302</v>
      </c>
      <c r="D25" s="155">
        <f>SUM(D20:D23)</f>
        <v>11700</v>
      </c>
      <c r="E25" s="155">
        <f>SUM(E20:E23)</f>
        <v>12351.299999999996</v>
      </c>
      <c r="F25" s="156">
        <f>SUM(F20:F23)</f>
        <v>13027.415699999992</v>
      </c>
      <c r="G25" s="156">
        <f>SUM(G20:G23)</f>
        <v>13729.179387299993</v>
      </c>
      <c r="H25" s="156">
        <f>SUM(H20:H23)</f>
        <v>14457.449625539693</v>
      </c>
      <c r="I25" s="156">
        <f>SUM(I20:I23)</f>
        <v>15213.1120573725</v>
      </c>
      <c r="J25" s="156">
        <f>SUM(J20:J23)</f>
        <v>15997.080231189597</v>
      </c>
      <c r="K25" s="156">
        <f>SUM(K20:K23)</f>
        <v>16810.296452606308</v>
      </c>
      <c r="L25" s="156">
        <f>SUM(L20:L23)</f>
        <v>17653.732661443639</v>
      </c>
      <c r="M25" s="156">
        <f>SUM(M20:M23)</f>
        <v>18528.391334959771</v>
      </c>
      <c r="N25" s="156">
        <f>SUM(N20:N23)</f>
        <v>19435.306418108219</v>
      </c>
    </row>
    <row r="26" spans="3:14">
      <c r="C26" s="1"/>
      <c r="D26" s="156"/>
      <c r="E26" s="36"/>
      <c r="F26" s="36"/>
      <c r="G26" s="36"/>
      <c r="H26" s="36"/>
      <c r="I26" s="36"/>
      <c r="J26" s="36"/>
      <c r="K26" s="36"/>
      <c r="L26" s="36"/>
      <c r="M26" s="36"/>
      <c r="N26" s="36"/>
    </row>
    <row r="27" spans="3:14">
      <c r="C27" s="40" t="s">
        <v>320</v>
      </c>
      <c r="D27" s="156"/>
      <c r="E27" s="36"/>
      <c r="F27" s="36"/>
      <c r="G27" s="36"/>
      <c r="H27" s="36"/>
      <c r="I27" s="36"/>
      <c r="J27" s="36"/>
      <c r="K27" s="36"/>
      <c r="L27" s="36"/>
      <c r="M27" s="36"/>
      <c r="N27" s="36"/>
    </row>
    <row r="28" spans="3:14">
      <c r="C28" s="151" t="s">
        <v>310</v>
      </c>
      <c r="D28" s="155">
        <f>-G1</f>
        <v>-25000</v>
      </c>
      <c r="E28" s="155">
        <f>-G2</f>
        <v>-25000</v>
      </c>
      <c r="F28" s="155">
        <v>0</v>
      </c>
      <c r="G28" s="155">
        <v>0</v>
      </c>
      <c r="H28" s="155">
        <v>0</v>
      </c>
      <c r="I28" s="155">
        <v>0</v>
      </c>
      <c r="J28" s="155">
        <v>0</v>
      </c>
      <c r="K28" s="155">
        <v>0</v>
      </c>
      <c r="L28" s="155">
        <v>0</v>
      </c>
      <c r="M28" s="155">
        <v>0</v>
      </c>
      <c r="N28" s="155">
        <v>0</v>
      </c>
    </row>
    <row r="29" spans="3:14">
      <c r="C29" s="151" t="s">
        <v>268</v>
      </c>
      <c r="D29" s="155">
        <f>I1</f>
        <v>5000</v>
      </c>
      <c r="E29" s="155">
        <f>I2</f>
        <v>5000</v>
      </c>
      <c r="F29" s="155">
        <v>0</v>
      </c>
      <c r="G29" s="155">
        <v>0</v>
      </c>
      <c r="H29" s="155">
        <v>0</v>
      </c>
      <c r="I29" s="155">
        <v>0</v>
      </c>
      <c r="J29" s="155">
        <v>0</v>
      </c>
      <c r="K29" s="155">
        <v>0</v>
      </c>
      <c r="L29" s="155">
        <v>0</v>
      </c>
      <c r="M29" s="155">
        <v>0</v>
      </c>
      <c r="N29" s="155">
        <v>0</v>
      </c>
    </row>
    <row r="30" spans="3:14">
      <c r="C30" s="152" t="s">
        <v>254</v>
      </c>
      <c r="D30" s="156">
        <f>-D8*12</f>
        <v>-18000</v>
      </c>
      <c r="E30" s="156">
        <f>D30*(1+$D$6)</f>
        <v>-18342</v>
      </c>
      <c r="F30" s="156">
        <f t="shared" ref="F30:N30" si="18">E30*(1+$D$6)</f>
        <v>-18690.498</v>
      </c>
      <c r="G30" s="156">
        <f t="shared" si="18"/>
        <v>-19045.617461999998</v>
      </c>
      <c r="H30" s="156">
        <f t="shared" si="18"/>
        <v>-19407.484193777997</v>
      </c>
      <c r="I30" s="156">
        <f t="shared" si="18"/>
        <v>-19776.226393459776</v>
      </c>
      <c r="J30" s="156">
        <f t="shared" si="18"/>
        <v>-20151.97469493551</v>
      </c>
      <c r="K30" s="156">
        <f t="shared" si="18"/>
        <v>-20534.862214139284</v>
      </c>
      <c r="L30" s="156">
        <f t="shared" si="18"/>
        <v>-20925.024596207928</v>
      </c>
      <c r="M30" s="156">
        <f t="shared" si="18"/>
        <v>-21322.600063535876</v>
      </c>
      <c r="N30" s="156">
        <f t="shared" si="18"/>
        <v>-21727.729464743057</v>
      </c>
    </row>
    <row r="31" spans="3:14">
      <c r="C31" s="54" t="s">
        <v>255</v>
      </c>
      <c r="D31" s="156">
        <f>-D9*12</f>
        <v>-13200</v>
      </c>
      <c r="E31" s="156">
        <f>D31*(1+$D$6)</f>
        <v>-13450.8</v>
      </c>
      <c r="F31" s="156">
        <f t="shared" ref="F31:N31" si="19">E31*(1+$D$6)</f>
        <v>-13706.365199999998</v>
      </c>
      <c r="G31" s="156">
        <f t="shared" si="19"/>
        <v>-13966.786138799996</v>
      </c>
      <c r="H31" s="156">
        <f t="shared" si="19"/>
        <v>-14232.155075437195</v>
      </c>
      <c r="I31" s="156">
        <f t="shared" si="19"/>
        <v>-14502.5660218705</v>
      </c>
      <c r="J31" s="156">
        <f t="shared" si="19"/>
        <v>-14778.114776286038</v>
      </c>
      <c r="K31" s="156">
        <f t="shared" si="19"/>
        <v>-15058.898957035472</v>
      </c>
      <c r="L31" s="156">
        <f t="shared" si="19"/>
        <v>-15345.018037219144</v>
      </c>
      <c r="M31" s="156">
        <f t="shared" si="19"/>
        <v>-15636.573379926307</v>
      </c>
      <c r="N31" s="156">
        <f t="shared" si="19"/>
        <v>-15933.668274144906</v>
      </c>
    </row>
    <row r="32" spans="3:14">
      <c r="C32" s="54" t="s">
        <v>273</v>
      </c>
      <c r="D32" s="156">
        <f>K1</f>
        <v>20500</v>
      </c>
      <c r="E32" s="156">
        <v>0</v>
      </c>
      <c r="F32" s="155">
        <v>0</v>
      </c>
      <c r="G32" s="155">
        <v>0</v>
      </c>
      <c r="H32" s="155">
        <v>0</v>
      </c>
      <c r="I32" s="155">
        <v>0</v>
      </c>
      <c r="J32" s="155">
        <v>0</v>
      </c>
      <c r="K32" s="155">
        <v>0</v>
      </c>
      <c r="L32" s="155">
        <v>0</v>
      </c>
      <c r="M32" s="155">
        <v>0</v>
      </c>
      <c r="N32" s="155">
        <v>0</v>
      </c>
    </row>
    <row r="33" spans="3:14">
      <c r="C33" s="54" t="s">
        <v>274</v>
      </c>
      <c r="D33" s="156">
        <v>0</v>
      </c>
      <c r="E33" s="156">
        <f>K2</f>
        <v>20500</v>
      </c>
      <c r="F33" s="155"/>
      <c r="G33" s="155"/>
      <c r="H33" s="155"/>
      <c r="I33" s="155"/>
      <c r="J33" s="155"/>
      <c r="K33" s="155"/>
      <c r="L33" s="155"/>
      <c r="M33" s="155"/>
      <c r="N33" s="155"/>
    </row>
    <row r="34" spans="3:14">
      <c r="C34" s="54" t="s">
        <v>271</v>
      </c>
      <c r="D34" s="156">
        <f>-($K$1*$J$8)</f>
        <v>-2578.9</v>
      </c>
      <c r="E34" s="156">
        <f t="shared" ref="E34:M34" si="20">-($K$1*$J$8)</f>
        <v>-2578.9</v>
      </c>
      <c r="F34" s="156">
        <f t="shared" si="20"/>
        <v>-2578.9</v>
      </c>
      <c r="G34" s="156">
        <f t="shared" si="20"/>
        <v>-2578.9</v>
      </c>
      <c r="H34" s="156">
        <f t="shared" si="20"/>
        <v>-2578.9</v>
      </c>
      <c r="I34" s="156">
        <f t="shared" si="20"/>
        <v>-2578.9</v>
      </c>
      <c r="J34" s="156">
        <f t="shared" si="20"/>
        <v>-2578.9</v>
      </c>
      <c r="K34" s="156">
        <f t="shared" si="20"/>
        <v>-2578.9</v>
      </c>
      <c r="L34" s="156">
        <f t="shared" si="20"/>
        <v>-2578.9</v>
      </c>
      <c r="M34" s="156">
        <f t="shared" si="20"/>
        <v>-2578.9</v>
      </c>
      <c r="N34" s="156">
        <v>0</v>
      </c>
    </row>
    <row r="35" spans="3:14">
      <c r="C35" s="54" t="s">
        <v>272</v>
      </c>
      <c r="D35" s="156">
        <v>0</v>
      </c>
      <c r="E35" s="156">
        <f>-($K$2*$J$8)</f>
        <v>-2578.9</v>
      </c>
      <c r="F35" s="156">
        <f t="shared" ref="F35:N35" si="21">-($K$2*$J$8)</f>
        <v>-2578.9</v>
      </c>
      <c r="G35" s="156">
        <f t="shared" si="21"/>
        <v>-2578.9</v>
      </c>
      <c r="H35" s="156">
        <f t="shared" si="21"/>
        <v>-2578.9</v>
      </c>
      <c r="I35" s="156">
        <f t="shared" si="21"/>
        <v>-2578.9</v>
      </c>
      <c r="J35" s="156">
        <f t="shared" si="21"/>
        <v>-2578.9</v>
      </c>
      <c r="K35" s="156">
        <f t="shared" si="21"/>
        <v>-2578.9</v>
      </c>
      <c r="L35" s="156">
        <f t="shared" si="21"/>
        <v>-2578.9</v>
      </c>
      <c r="M35" s="156">
        <f t="shared" si="21"/>
        <v>-2578.9</v>
      </c>
      <c r="N35" s="156">
        <f t="shared" si="21"/>
        <v>-2578.9</v>
      </c>
    </row>
    <row r="36" spans="3:14">
      <c r="C36" s="54" t="s">
        <v>298</v>
      </c>
      <c r="D36" s="156">
        <f>M1</f>
        <v>28015</v>
      </c>
      <c r="E36" s="156">
        <v>0</v>
      </c>
      <c r="F36" s="155">
        <v>0</v>
      </c>
      <c r="G36" s="155">
        <v>0</v>
      </c>
      <c r="H36" s="155">
        <v>0</v>
      </c>
      <c r="I36" s="155">
        <v>0</v>
      </c>
      <c r="J36" s="155">
        <v>0</v>
      </c>
      <c r="K36" s="155">
        <v>0</v>
      </c>
      <c r="L36" s="155">
        <v>0</v>
      </c>
      <c r="M36" s="155">
        <v>0</v>
      </c>
      <c r="N36" s="155">
        <v>0</v>
      </c>
    </row>
    <row r="37" spans="3:14">
      <c r="C37" s="54" t="s">
        <v>299</v>
      </c>
      <c r="D37" s="156">
        <v>0</v>
      </c>
      <c r="E37" s="156">
        <f>M2</f>
        <v>35985</v>
      </c>
      <c r="F37" s="155">
        <v>0</v>
      </c>
      <c r="G37" s="155">
        <v>0</v>
      </c>
      <c r="H37" s="155">
        <v>0</v>
      </c>
      <c r="I37" s="155">
        <v>0</v>
      </c>
      <c r="J37" s="155">
        <v>0</v>
      </c>
      <c r="K37" s="155">
        <v>0</v>
      </c>
      <c r="L37" s="155">
        <v>0</v>
      </c>
      <c r="M37" s="155">
        <v>0</v>
      </c>
      <c r="N37" s="155">
        <v>0</v>
      </c>
    </row>
    <row r="38" spans="3:14">
      <c r="C38" s="54" t="s">
        <v>300</v>
      </c>
      <c r="D38" s="156">
        <f>-($M$1*$M$8)</f>
        <v>-3735.9889224489916</v>
      </c>
      <c r="E38" s="156">
        <f t="shared" ref="E38:M38" si="22">-($M$1*$M$8)</f>
        <v>-3735.9889224489916</v>
      </c>
      <c r="F38" s="156">
        <f t="shared" si="22"/>
        <v>-3735.9889224489916</v>
      </c>
      <c r="G38" s="156">
        <f t="shared" si="22"/>
        <v>-3735.9889224489916</v>
      </c>
      <c r="H38" s="156">
        <f t="shared" si="22"/>
        <v>-3735.9889224489916</v>
      </c>
      <c r="I38" s="156">
        <f t="shared" si="22"/>
        <v>-3735.9889224489916</v>
      </c>
      <c r="J38" s="156">
        <f t="shared" si="22"/>
        <v>-3735.9889224489916</v>
      </c>
      <c r="K38" s="156">
        <f t="shared" si="22"/>
        <v>-3735.9889224489916</v>
      </c>
      <c r="L38" s="156">
        <f t="shared" si="22"/>
        <v>-3735.9889224489916</v>
      </c>
      <c r="M38" s="156">
        <f t="shared" si="22"/>
        <v>-3735.9889224489916</v>
      </c>
      <c r="N38" s="156"/>
    </row>
    <row r="39" spans="3:14">
      <c r="C39" s="54" t="s">
        <v>301</v>
      </c>
      <c r="D39" s="156"/>
      <c r="E39" s="156">
        <f>-($M$2*$M$8)</f>
        <v>-4798.8420979591992</v>
      </c>
      <c r="F39" s="156">
        <f t="shared" ref="F39:N39" si="23">-($M$2*$M$8)</f>
        <v>-4798.8420979591992</v>
      </c>
      <c r="G39" s="156">
        <f t="shared" si="23"/>
        <v>-4798.8420979591992</v>
      </c>
      <c r="H39" s="156">
        <f t="shared" si="23"/>
        <v>-4798.8420979591992</v>
      </c>
      <c r="I39" s="156">
        <f t="shared" si="23"/>
        <v>-4798.8420979591992</v>
      </c>
      <c r="J39" s="156">
        <f t="shared" si="23"/>
        <v>-4798.8420979591992</v>
      </c>
      <c r="K39" s="156">
        <f t="shared" si="23"/>
        <v>-4798.8420979591992</v>
      </c>
      <c r="L39" s="156">
        <f t="shared" si="23"/>
        <v>-4798.8420979591992</v>
      </c>
      <c r="M39" s="156">
        <f t="shared" si="23"/>
        <v>-4798.8420979591992</v>
      </c>
      <c r="N39" s="156">
        <f t="shared" si="23"/>
        <v>-4798.8420979591992</v>
      </c>
    </row>
    <row r="40" spans="3:14">
      <c r="C40" s="54" t="s">
        <v>256</v>
      </c>
      <c r="D40" s="156">
        <f>$D$10</f>
        <v>10000</v>
      </c>
      <c r="E40" s="156">
        <f>$D$10</f>
        <v>10000</v>
      </c>
      <c r="F40" s="35">
        <f>D2</f>
        <v>250000</v>
      </c>
      <c r="G40" s="156">
        <f>F40*(1+$D$5)</f>
        <v>257249.99999999997</v>
      </c>
      <c r="H40" s="156">
        <f t="shared" ref="H40:N40" si="24">G40*(1+$D$5)</f>
        <v>264710.24999999994</v>
      </c>
      <c r="I40" s="156">
        <f t="shared" si="24"/>
        <v>272386.84724999993</v>
      </c>
      <c r="J40" s="156">
        <f t="shared" si="24"/>
        <v>280286.0658202499</v>
      </c>
      <c r="K40" s="156">
        <f t="shared" si="24"/>
        <v>288414.36172903713</v>
      </c>
      <c r="L40" s="156">
        <f t="shared" si="24"/>
        <v>296778.37821917917</v>
      </c>
      <c r="M40" s="156">
        <f t="shared" si="24"/>
        <v>305384.95118753536</v>
      </c>
      <c r="N40" s="156">
        <f t="shared" si="24"/>
        <v>314241.11477197387</v>
      </c>
    </row>
    <row r="41" spans="3:14">
      <c r="C41" s="54" t="s">
        <v>128</v>
      </c>
      <c r="D41" s="156">
        <f t="shared" ref="D41:E41" si="25">-(IF(D40&lt;=10000,D40*10%,IF(D40&lt;=85525,D40*22%,IF(D40&lt;=518400,D40*32%,"poop"))))</f>
        <v>-1000</v>
      </c>
      <c r="E41" s="156">
        <f t="shared" si="25"/>
        <v>-1000</v>
      </c>
      <c r="F41" s="156">
        <f>-(IF(F40&lt;=10000,F40*10%,IF(F40&lt;=85525,F40*22%,IF(F40&lt;=518400,F40*32%,"poop"))))</f>
        <v>-80000</v>
      </c>
      <c r="G41" s="156">
        <f t="shared" ref="G41:N41" si="26">-(IF(G40&lt;=10000,G40*10%,IF(G40&lt;=85525,G40*22%,IF(G40&lt;=518400,G40*32%,"poop"))))</f>
        <v>-82319.999999999985</v>
      </c>
      <c r="H41" s="156">
        <f t="shared" si="26"/>
        <v>-84707.279999999984</v>
      </c>
      <c r="I41" s="156">
        <f t="shared" si="26"/>
        <v>-87163.79111999998</v>
      </c>
      <c r="J41" s="156">
        <f t="shared" si="26"/>
        <v>-89691.54106247997</v>
      </c>
      <c r="K41" s="156">
        <f t="shared" si="26"/>
        <v>-92292.595753291884</v>
      </c>
      <c r="L41" s="156">
        <f t="shared" si="26"/>
        <v>-94969.081030137342</v>
      </c>
      <c r="M41" s="156">
        <f t="shared" si="26"/>
        <v>-97723.184380011313</v>
      </c>
      <c r="N41" s="156">
        <f t="shared" si="26"/>
        <v>-100557.15672703164</v>
      </c>
    </row>
    <row r="42" spans="3:14"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</row>
    <row r="43" spans="3:14">
      <c r="C43" s="1" t="s">
        <v>303</v>
      </c>
      <c r="D43" s="155">
        <f>SUM(D28:D41)</f>
        <v>0.11107755100601935</v>
      </c>
      <c r="E43" s="155">
        <f>SUM(E28:E41)</f>
        <v>-0.43102040819576359</v>
      </c>
      <c r="F43" s="156">
        <f t="shared" ref="F43:N43" si="27">SUM(F28:F41)</f>
        <v>123910.5057795918</v>
      </c>
      <c r="G43" s="156">
        <f t="shared" si="27"/>
        <v>128224.96537879181</v>
      </c>
      <c r="H43" s="156">
        <f t="shared" si="27"/>
        <v>132670.69971037656</v>
      </c>
      <c r="I43" s="156">
        <f t="shared" si="27"/>
        <v>137251.6326942615</v>
      </c>
      <c r="J43" s="156">
        <f t="shared" si="27"/>
        <v>141971.80426614021</v>
      </c>
      <c r="K43" s="156">
        <f t="shared" si="27"/>
        <v>146835.37378416231</v>
      </c>
      <c r="L43" s="156">
        <f t="shared" si="27"/>
        <v>151846.62353520657</v>
      </c>
      <c r="M43" s="156">
        <f t="shared" si="27"/>
        <v>157009.96234365369</v>
      </c>
      <c r="N43" s="156">
        <f t="shared" si="27"/>
        <v>168644.81820809509</v>
      </c>
    </row>
    <row r="44" spans="3:14">
      <c r="C44" s="1"/>
      <c r="D44" s="155"/>
      <c r="E44" s="155"/>
      <c r="F44" s="156"/>
      <c r="G44" s="156"/>
      <c r="H44" s="156"/>
      <c r="I44" s="156"/>
      <c r="J44" s="156"/>
      <c r="K44" s="156"/>
      <c r="L44" s="156"/>
      <c r="M44" s="156"/>
      <c r="N44" s="156"/>
    </row>
    <row r="45" spans="3:14">
      <c r="C45" s="40" t="s">
        <v>321</v>
      </c>
      <c r="D45" s="155"/>
      <c r="E45" s="155"/>
      <c r="F45" s="156"/>
      <c r="G45" s="156"/>
      <c r="H45" s="156"/>
      <c r="I45" s="156"/>
      <c r="J45" s="156"/>
      <c r="K45" s="156"/>
      <c r="L45" s="156"/>
      <c r="M45" s="156"/>
      <c r="N45" s="156"/>
    </row>
    <row r="46" spans="3:14">
      <c r="C46" s="151" t="s">
        <v>311</v>
      </c>
      <c r="D46" s="155">
        <f>-G5</f>
        <v>-10000</v>
      </c>
      <c r="E46" s="155">
        <f>-G6</f>
        <v>-10000</v>
      </c>
      <c r="F46" s="155">
        <v>0</v>
      </c>
      <c r="G46" s="155">
        <v>0</v>
      </c>
      <c r="H46" s="155">
        <v>0</v>
      </c>
      <c r="I46" s="155">
        <v>0</v>
      </c>
      <c r="J46" s="155">
        <v>0</v>
      </c>
      <c r="K46" s="155">
        <v>0</v>
      </c>
      <c r="L46" s="155">
        <v>0</v>
      </c>
      <c r="M46" s="155">
        <v>0</v>
      </c>
      <c r="N46" s="155">
        <v>0</v>
      </c>
    </row>
    <row r="47" spans="3:14">
      <c r="C47" s="151" t="s">
        <v>268</v>
      </c>
      <c r="D47" s="155">
        <f>I5</f>
        <v>5000</v>
      </c>
      <c r="E47" s="155">
        <f>I6</f>
        <v>5000</v>
      </c>
      <c r="F47" s="155">
        <v>0</v>
      </c>
      <c r="G47" s="155">
        <v>0</v>
      </c>
      <c r="H47" s="155">
        <v>0</v>
      </c>
      <c r="I47" s="155">
        <v>0</v>
      </c>
      <c r="J47" s="155">
        <v>0</v>
      </c>
      <c r="K47" s="155">
        <v>0</v>
      </c>
      <c r="L47" s="155">
        <v>0</v>
      </c>
      <c r="M47" s="155">
        <v>0</v>
      </c>
      <c r="N47" s="155">
        <v>0</v>
      </c>
    </row>
    <row r="48" spans="3:14">
      <c r="C48" s="152" t="s">
        <v>254</v>
      </c>
      <c r="D48" s="156">
        <f>-D8*12</f>
        <v>-18000</v>
      </c>
      <c r="E48" s="156">
        <f>D48*(1+$D$6)</f>
        <v>-18342</v>
      </c>
      <c r="F48" s="156">
        <f t="shared" ref="F48:N48" si="28">E48*(1+$D$6)</f>
        <v>-18690.498</v>
      </c>
      <c r="G48" s="156">
        <f t="shared" si="28"/>
        <v>-19045.617461999998</v>
      </c>
      <c r="H48" s="156">
        <f t="shared" si="28"/>
        <v>-19407.484193777997</v>
      </c>
      <c r="I48" s="156">
        <f t="shared" si="28"/>
        <v>-19776.226393459776</v>
      </c>
      <c r="J48" s="156">
        <f t="shared" si="28"/>
        <v>-20151.97469493551</v>
      </c>
      <c r="K48" s="156">
        <f t="shared" si="28"/>
        <v>-20534.862214139284</v>
      </c>
      <c r="L48" s="156">
        <f t="shared" si="28"/>
        <v>-20925.024596207928</v>
      </c>
      <c r="M48" s="156">
        <f t="shared" si="28"/>
        <v>-21322.600063535876</v>
      </c>
      <c r="N48" s="156">
        <f t="shared" si="28"/>
        <v>-21727.729464743057</v>
      </c>
    </row>
    <row r="49" spans="3:14">
      <c r="C49" s="54" t="s">
        <v>255</v>
      </c>
      <c r="D49" s="156">
        <f>-D9*12</f>
        <v>-13200</v>
      </c>
      <c r="E49" s="156">
        <f>D49*(1+$D$6)</f>
        <v>-13450.8</v>
      </c>
      <c r="F49" s="156">
        <f t="shared" ref="F49:N49" si="29">E49*(1+$D$6)</f>
        <v>-13706.365199999998</v>
      </c>
      <c r="G49" s="156">
        <f t="shared" si="29"/>
        <v>-13966.786138799996</v>
      </c>
      <c r="H49" s="156">
        <f t="shared" si="29"/>
        <v>-14232.155075437195</v>
      </c>
      <c r="I49" s="156">
        <f t="shared" si="29"/>
        <v>-14502.5660218705</v>
      </c>
      <c r="J49" s="156">
        <f t="shared" si="29"/>
        <v>-14778.114776286038</v>
      </c>
      <c r="K49" s="156">
        <f t="shared" si="29"/>
        <v>-15058.898957035472</v>
      </c>
      <c r="L49" s="156">
        <f t="shared" si="29"/>
        <v>-15345.018037219144</v>
      </c>
      <c r="M49" s="156">
        <f t="shared" si="29"/>
        <v>-15636.573379926307</v>
      </c>
      <c r="N49" s="156">
        <f t="shared" si="29"/>
        <v>-15933.668274144906</v>
      </c>
    </row>
    <row r="50" spans="3:14">
      <c r="C50" s="54" t="s">
        <v>273</v>
      </c>
      <c r="D50" s="156">
        <f>K5</f>
        <v>20500</v>
      </c>
      <c r="E50" s="156">
        <v>0</v>
      </c>
      <c r="F50" s="155">
        <v>0</v>
      </c>
      <c r="G50" s="155">
        <v>0</v>
      </c>
      <c r="H50" s="155">
        <v>0</v>
      </c>
      <c r="I50" s="155">
        <v>0</v>
      </c>
      <c r="J50" s="155">
        <v>0</v>
      </c>
      <c r="K50" s="155">
        <v>0</v>
      </c>
      <c r="L50" s="155">
        <v>0</v>
      </c>
      <c r="M50" s="155">
        <v>0</v>
      </c>
      <c r="N50" s="155">
        <v>0</v>
      </c>
    </row>
    <row r="51" spans="3:14">
      <c r="C51" s="54" t="s">
        <v>274</v>
      </c>
      <c r="D51" s="156">
        <v>0</v>
      </c>
      <c r="E51" s="156">
        <f>K6</f>
        <v>20500</v>
      </c>
      <c r="F51" s="155"/>
      <c r="G51" s="155"/>
      <c r="H51" s="155"/>
      <c r="I51" s="155"/>
      <c r="J51" s="155"/>
      <c r="K51" s="155"/>
      <c r="L51" s="155"/>
      <c r="M51" s="155"/>
      <c r="N51" s="155"/>
    </row>
    <row r="52" spans="3:14">
      <c r="C52" s="54" t="s">
        <v>271</v>
      </c>
      <c r="D52" s="156">
        <f>-($K$5*$J$8)</f>
        <v>-2578.9</v>
      </c>
      <c r="E52" s="156">
        <f t="shared" ref="E52:M52" si="30">-($K$5*$J$8)</f>
        <v>-2578.9</v>
      </c>
      <c r="F52" s="156">
        <f t="shared" si="30"/>
        <v>-2578.9</v>
      </c>
      <c r="G52" s="156">
        <f t="shared" si="30"/>
        <v>-2578.9</v>
      </c>
      <c r="H52" s="156">
        <f t="shared" si="30"/>
        <v>-2578.9</v>
      </c>
      <c r="I52" s="156">
        <f t="shared" si="30"/>
        <v>-2578.9</v>
      </c>
      <c r="J52" s="156">
        <f t="shared" si="30"/>
        <v>-2578.9</v>
      </c>
      <c r="K52" s="156">
        <f t="shared" si="30"/>
        <v>-2578.9</v>
      </c>
      <c r="L52" s="156">
        <f t="shared" si="30"/>
        <v>-2578.9</v>
      </c>
      <c r="M52" s="156">
        <f t="shared" si="30"/>
        <v>-2578.9</v>
      </c>
      <c r="N52" s="156">
        <v>0</v>
      </c>
    </row>
    <row r="53" spans="3:14">
      <c r="C53" s="54" t="s">
        <v>272</v>
      </c>
      <c r="D53" s="156">
        <v>0</v>
      </c>
      <c r="E53" s="156">
        <f>-($K$6*$J$8)</f>
        <v>-2578.9</v>
      </c>
      <c r="F53" s="156">
        <f t="shared" ref="F53:N53" si="31">-($K$6*$J$8)</f>
        <v>-2578.9</v>
      </c>
      <c r="G53" s="156">
        <f t="shared" si="31"/>
        <v>-2578.9</v>
      </c>
      <c r="H53" s="156">
        <f t="shared" si="31"/>
        <v>-2578.9</v>
      </c>
      <c r="I53" s="156">
        <f t="shared" si="31"/>
        <v>-2578.9</v>
      </c>
      <c r="J53" s="156">
        <f t="shared" si="31"/>
        <v>-2578.9</v>
      </c>
      <c r="K53" s="156">
        <f t="shared" si="31"/>
        <v>-2578.9</v>
      </c>
      <c r="L53" s="156">
        <f t="shared" si="31"/>
        <v>-2578.9</v>
      </c>
      <c r="M53" s="156">
        <f t="shared" si="31"/>
        <v>-2578.9</v>
      </c>
      <c r="N53" s="156">
        <f t="shared" si="31"/>
        <v>-2578.9</v>
      </c>
    </row>
    <row r="54" spans="3:14">
      <c r="C54" s="54" t="s">
        <v>298</v>
      </c>
      <c r="D54" s="156">
        <f>M5</f>
        <v>10707</v>
      </c>
      <c r="E54" s="156">
        <v>0</v>
      </c>
      <c r="F54" s="155">
        <v>0</v>
      </c>
      <c r="G54" s="155">
        <v>0</v>
      </c>
      <c r="H54" s="155">
        <v>0</v>
      </c>
      <c r="I54" s="155">
        <v>0</v>
      </c>
      <c r="J54" s="155">
        <v>0</v>
      </c>
      <c r="K54" s="155">
        <v>0</v>
      </c>
      <c r="L54" s="155">
        <v>0</v>
      </c>
      <c r="M54" s="155">
        <v>0</v>
      </c>
      <c r="N54" s="155">
        <v>0</v>
      </c>
    </row>
    <row r="55" spans="3:14">
      <c r="C55" s="54" t="s">
        <v>299</v>
      </c>
      <c r="D55" s="156">
        <v>0</v>
      </c>
      <c r="E55" s="156">
        <f>M6</f>
        <v>16014</v>
      </c>
      <c r="F55" s="155">
        <v>0</v>
      </c>
      <c r="G55" s="155">
        <v>0</v>
      </c>
      <c r="H55" s="155">
        <v>0</v>
      </c>
      <c r="I55" s="155">
        <v>0</v>
      </c>
      <c r="J55" s="155">
        <v>0</v>
      </c>
      <c r="K55" s="155">
        <v>0</v>
      </c>
      <c r="L55" s="155">
        <v>0</v>
      </c>
      <c r="M55" s="155">
        <v>0</v>
      </c>
      <c r="N55" s="155">
        <v>0</v>
      </c>
    </row>
    <row r="56" spans="3:14">
      <c r="C56" s="54" t="s">
        <v>300</v>
      </c>
      <c r="D56" s="156">
        <f>-($M$5*$M$8)</f>
        <v>-1427.8505583673516</v>
      </c>
      <c r="E56" s="156">
        <f t="shared" ref="E56:N56" si="32">-($M$5*$M$8)</f>
        <v>-1427.8505583673516</v>
      </c>
      <c r="F56" s="156">
        <f t="shared" si="32"/>
        <v>-1427.8505583673516</v>
      </c>
      <c r="G56" s="156">
        <f t="shared" si="32"/>
        <v>-1427.8505583673516</v>
      </c>
      <c r="H56" s="156">
        <f t="shared" si="32"/>
        <v>-1427.8505583673516</v>
      </c>
      <c r="I56" s="156">
        <f t="shared" si="32"/>
        <v>-1427.8505583673516</v>
      </c>
      <c r="J56" s="156">
        <f t="shared" si="32"/>
        <v>-1427.8505583673516</v>
      </c>
      <c r="K56" s="156">
        <f t="shared" si="32"/>
        <v>-1427.8505583673516</v>
      </c>
      <c r="L56" s="156">
        <f t="shared" si="32"/>
        <v>-1427.8505583673516</v>
      </c>
      <c r="M56" s="156">
        <f t="shared" si="32"/>
        <v>-1427.8505583673516</v>
      </c>
      <c r="N56" s="156">
        <f t="shared" si="32"/>
        <v>-1427.8505583673516</v>
      </c>
    </row>
    <row r="57" spans="3:14">
      <c r="C57" s="54" t="s">
        <v>301</v>
      </c>
      <c r="D57" s="156"/>
      <c r="E57" s="156">
        <f>-($M$6*$M$8)</f>
        <v>-2135.574749387762</v>
      </c>
      <c r="F57" s="156">
        <f t="shared" ref="F57:N57" si="33">-($M$6*$M$8)</f>
        <v>-2135.574749387762</v>
      </c>
      <c r="G57" s="156">
        <f t="shared" si="33"/>
        <v>-2135.574749387762</v>
      </c>
      <c r="H57" s="156">
        <f t="shared" si="33"/>
        <v>-2135.574749387762</v>
      </c>
      <c r="I57" s="156">
        <f t="shared" si="33"/>
        <v>-2135.574749387762</v>
      </c>
      <c r="J57" s="156">
        <f t="shared" si="33"/>
        <v>-2135.574749387762</v>
      </c>
      <c r="K57" s="156">
        <f t="shared" si="33"/>
        <v>-2135.574749387762</v>
      </c>
      <c r="L57" s="156">
        <f t="shared" si="33"/>
        <v>-2135.574749387762</v>
      </c>
      <c r="M57" s="156">
        <f t="shared" si="33"/>
        <v>-2135.574749387762</v>
      </c>
      <c r="N57" s="156">
        <f t="shared" si="33"/>
        <v>-2135.574749387762</v>
      </c>
    </row>
    <row r="58" spans="3:14">
      <c r="C58" s="54" t="s">
        <v>256</v>
      </c>
      <c r="D58" s="156">
        <f>$D$10</f>
        <v>10000</v>
      </c>
      <c r="E58" s="156">
        <f>$D$10</f>
        <v>10000</v>
      </c>
      <c r="F58" s="35">
        <f>D3</f>
        <v>65000</v>
      </c>
      <c r="G58" s="156">
        <f>F58*(1+$D$5)</f>
        <v>66885</v>
      </c>
      <c r="H58" s="156">
        <f t="shared" ref="H58:N58" si="34">G58*(1+$D$5)</f>
        <v>68824.664999999994</v>
      </c>
      <c r="I58" s="156">
        <f t="shared" si="34"/>
        <v>70820.580284999989</v>
      </c>
      <c r="J58" s="156">
        <f t="shared" si="34"/>
        <v>72874.377113264985</v>
      </c>
      <c r="K58" s="156">
        <f t="shared" si="34"/>
        <v>74987.734049549661</v>
      </c>
      <c r="L58" s="156">
        <f t="shared" si="34"/>
        <v>77162.3783369866</v>
      </c>
      <c r="M58" s="156">
        <f t="shared" si="34"/>
        <v>79400.087308759204</v>
      </c>
      <c r="N58" s="156">
        <f t="shared" si="34"/>
        <v>81702.68984071321</v>
      </c>
    </row>
    <row r="59" spans="3:14">
      <c r="C59" s="54" t="s">
        <v>128</v>
      </c>
      <c r="D59" s="156">
        <f t="shared" ref="D59:E59" si="35">-(IF(D58&lt;=10000,D58*10%,IF(D58&lt;=85525,D58*22%,IF(D58&lt;=518400,D58*32%,"poop"))))</f>
        <v>-1000</v>
      </c>
      <c r="E59" s="156">
        <f t="shared" si="35"/>
        <v>-1000</v>
      </c>
      <c r="F59" s="156">
        <f>-(IF(F58&lt;=10000,F58*10%,IF(F58&lt;=85525,F58*22%,IF(F58&lt;=518400,F58*32%,"poop"))))</f>
        <v>-14300</v>
      </c>
      <c r="G59" s="156">
        <f t="shared" ref="G59:N59" si="36">-(IF(G58&lt;=10000,G58*10%,IF(G58&lt;=85525,G58*22%,IF(G58&lt;=518400,G58*32%,"poop"))))</f>
        <v>-14714.7</v>
      </c>
      <c r="H59" s="156">
        <f t="shared" si="36"/>
        <v>-15141.426299999999</v>
      </c>
      <c r="I59" s="156">
        <f t="shared" si="36"/>
        <v>-15580.527662699998</v>
      </c>
      <c r="J59" s="156">
        <f t="shared" si="36"/>
        <v>-16032.362964918297</v>
      </c>
      <c r="K59" s="156">
        <f t="shared" si="36"/>
        <v>-16497.301490900925</v>
      </c>
      <c r="L59" s="156">
        <f t="shared" si="36"/>
        <v>-16975.723234137051</v>
      </c>
      <c r="M59" s="156">
        <f t="shared" si="36"/>
        <v>-17468.019207927024</v>
      </c>
      <c r="N59" s="156">
        <f t="shared" si="36"/>
        <v>-17974.591764956906</v>
      </c>
    </row>
    <row r="60" spans="3:14"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</row>
    <row r="61" spans="3:14">
      <c r="C61" s="1" t="s">
        <v>309</v>
      </c>
      <c r="D61" s="155">
        <f>SUM(D46:D59)</f>
        <v>0.24944163264626695</v>
      </c>
      <c r="E61" s="155">
        <f>SUM(E46:E59)</f>
        <v>-2.5307755118774367E-2</v>
      </c>
      <c r="F61" s="156">
        <f t="shared" ref="F61:N61" si="37">SUM(F46:F59)</f>
        <v>9581.9114922448789</v>
      </c>
      <c r="G61" s="156">
        <f t="shared" si="37"/>
        <v>10436.671091444881</v>
      </c>
      <c r="H61" s="156">
        <f t="shared" si="37"/>
        <v>11322.37412302968</v>
      </c>
      <c r="I61" s="156">
        <f t="shared" si="37"/>
        <v>12240.034899214595</v>
      </c>
      <c r="J61" s="156">
        <f t="shared" si="37"/>
        <v>13190.699369370015</v>
      </c>
      <c r="K61" s="156">
        <f t="shared" si="37"/>
        <v>14175.446079718855</v>
      </c>
      <c r="L61" s="156">
        <f t="shared" si="37"/>
        <v>15195.387161667353</v>
      </c>
      <c r="M61" s="156">
        <f t="shared" si="37"/>
        <v>16251.669349614876</v>
      </c>
      <c r="N61" s="156">
        <f t="shared" si="37"/>
        <v>19924.37502911322</v>
      </c>
    </row>
    <row r="62" spans="3:14">
      <c r="C62" s="1"/>
      <c r="D62" s="155"/>
      <c r="E62" s="155"/>
      <c r="F62" s="156"/>
      <c r="G62" s="156"/>
      <c r="H62" s="156"/>
      <c r="I62" s="156"/>
      <c r="J62" s="156"/>
      <c r="K62" s="156"/>
      <c r="L62" s="156"/>
      <c r="M62" s="156"/>
      <c r="N62" s="156"/>
    </row>
    <row r="63" spans="3:14">
      <c r="C63" s="1"/>
      <c r="D63" s="155"/>
      <c r="E63" s="155"/>
      <c r="F63" s="156"/>
      <c r="G63" s="156"/>
      <c r="H63" s="156"/>
      <c r="I63" s="156"/>
      <c r="J63" s="156"/>
      <c r="K63" s="156"/>
      <c r="L63" s="156"/>
      <c r="M63" s="156"/>
      <c r="N63" s="156"/>
    </row>
    <row r="64" spans="3:14">
      <c r="C64" s="1"/>
      <c r="D64" s="155"/>
      <c r="E64" s="155"/>
      <c r="F64" s="156"/>
      <c r="G64" s="156"/>
      <c r="H64" s="156"/>
      <c r="I64" s="156"/>
      <c r="J64" s="156"/>
      <c r="K64" s="156"/>
      <c r="L64" s="156"/>
      <c r="M64" s="156"/>
      <c r="N64" s="156"/>
    </row>
    <row r="65" spans="2:14">
      <c r="C65" s="1"/>
      <c r="D65" s="155"/>
      <c r="E65" s="155"/>
      <c r="F65" s="156"/>
      <c r="G65" s="156"/>
      <c r="H65" s="156"/>
      <c r="I65" s="156"/>
      <c r="J65" s="156"/>
      <c r="K65" s="156"/>
      <c r="L65" s="156"/>
      <c r="M65" s="156"/>
      <c r="N65" s="156"/>
    </row>
    <row r="66" spans="2:14">
      <c r="C66" s="1"/>
      <c r="D66" s="155"/>
      <c r="E66" s="155"/>
      <c r="F66" s="156"/>
      <c r="G66" s="156"/>
      <c r="H66" s="156"/>
      <c r="I66" s="156"/>
      <c r="J66" s="156"/>
      <c r="K66" s="156"/>
      <c r="L66" s="156"/>
      <c r="M66" s="156"/>
      <c r="N66" s="156"/>
    </row>
    <row r="67" spans="2:14">
      <c r="C67" s="36"/>
    </row>
    <row r="68" spans="2:14">
      <c r="N68" s="157"/>
    </row>
    <row r="69" spans="2:14">
      <c r="C69" t="s">
        <v>257</v>
      </c>
      <c r="N69" s="157"/>
    </row>
    <row r="70" spans="2:14">
      <c r="C70" t="s">
        <v>258</v>
      </c>
    </row>
    <row r="71" spans="2:14">
      <c r="C71" t="s">
        <v>259</v>
      </c>
    </row>
    <row r="72" spans="2:14">
      <c r="C72" t="s">
        <v>261</v>
      </c>
    </row>
    <row r="73" spans="2:14">
      <c r="C73" t="s">
        <v>262</v>
      </c>
    </row>
    <row r="74" spans="2:14">
      <c r="C74" t="s">
        <v>263</v>
      </c>
    </row>
    <row r="75" spans="2:14">
      <c r="C75" t="s">
        <v>267</v>
      </c>
    </row>
    <row r="76" spans="2:14">
      <c r="B76">
        <v>-0.1258</v>
      </c>
      <c r="C76" t="s">
        <v>326</v>
      </c>
    </row>
    <row r="77" spans="2:14">
      <c r="B77">
        <v>-0.13335673469387754</v>
      </c>
      <c r="C77" t="s">
        <v>327</v>
      </c>
    </row>
    <row r="78" spans="2:14">
      <c r="C78" t="s">
        <v>322</v>
      </c>
    </row>
    <row r="82" spans="3:14">
      <c r="C82" t="s">
        <v>277</v>
      </c>
      <c r="D82" s="165"/>
      <c r="E82" s="164"/>
      <c r="F82" s="164"/>
    </row>
    <row r="83" spans="3:14">
      <c r="D83" s="158" t="s">
        <v>278</v>
      </c>
      <c r="E83" s="158"/>
    </row>
    <row r="85" spans="3:14">
      <c r="D85" s="159" t="s">
        <v>279</v>
      </c>
      <c r="E85" s="160">
        <v>20500</v>
      </c>
    </row>
    <row r="86" spans="3:14">
      <c r="D86" s="159" t="s">
        <v>280</v>
      </c>
      <c r="E86" s="160">
        <v>20707.07</v>
      </c>
    </row>
    <row r="87" spans="3:14">
      <c r="D87" s="159" t="s">
        <v>281</v>
      </c>
      <c r="E87" s="161">
        <v>4.53E-2</v>
      </c>
    </row>
    <row r="88" spans="3:14">
      <c r="D88" s="159" t="s">
        <v>282</v>
      </c>
      <c r="E88" s="161">
        <v>0.01</v>
      </c>
    </row>
    <row r="89" spans="3:14">
      <c r="D89" s="159" t="s">
        <v>283</v>
      </c>
      <c r="E89" s="159" t="s">
        <v>284</v>
      </c>
    </row>
    <row r="90" spans="3:14">
      <c r="D90" s="159" t="s">
        <v>285</v>
      </c>
      <c r="E90" s="160">
        <v>50</v>
      </c>
    </row>
    <row r="91" spans="3:14">
      <c r="D91" s="159" t="s">
        <v>286</v>
      </c>
      <c r="E91" s="159" t="s">
        <v>287</v>
      </c>
    </row>
    <row r="92" spans="3:14">
      <c r="D92" s="159" t="s">
        <v>288</v>
      </c>
      <c r="E92" s="159" t="s">
        <v>289</v>
      </c>
    </row>
    <row r="93" spans="3:14">
      <c r="D93" s="159" t="s">
        <v>290</v>
      </c>
      <c r="E93" s="159" t="s">
        <v>291</v>
      </c>
    </row>
    <row r="94" spans="3:14">
      <c r="C94" s="1"/>
      <c r="D94" s="159" t="s">
        <v>292</v>
      </c>
      <c r="E94" s="160">
        <v>10250</v>
      </c>
      <c r="G94" s="136"/>
      <c r="H94" s="136"/>
      <c r="I94" s="136"/>
      <c r="J94" s="136"/>
      <c r="K94" s="136"/>
      <c r="L94" s="136"/>
      <c r="M94" s="136"/>
      <c r="N94" s="136"/>
    </row>
    <row r="95" spans="3:14">
      <c r="D95" s="159"/>
    </row>
    <row r="96" spans="3:14">
      <c r="D96" s="162" t="s">
        <v>293</v>
      </c>
      <c r="E96" s="163">
        <v>214.9</v>
      </c>
    </row>
    <row r="97" spans="3:6">
      <c r="D97" s="159" t="s">
        <v>294</v>
      </c>
      <c r="E97" s="159">
        <v>120</v>
      </c>
    </row>
    <row r="98" spans="3:6">
      <c r="D98" s="159"/>
    </row>
    <row r="99" spans="3:6">
      <c r="D99" s="159" t="s">
        <v>295</v>
      </c>
      <c r="E99" s="160">
        <v>25788.66</v>
      </c>
    </row>
    <row r="100" spans="3:6">
      <c r="D100" s="159" t="s">
        <v>296</v>
      </c>
      <c r="E100" s="160">
        <v>5288.66</v>
      </c>
    </row>
    <row r="101" spans="3:6">
      <c r="D101" s="165"/>
      <c r="E101" s="164"/>
      <c r="F101" s="164"/>
    </row>
    <row r="102" spans="3:6">
      <c r="C102" t="s">
        <v>297</v>
      </c>
    </row>
    <row r="103" spans="3:6">
      <c r="D103" s="158" t="s">
        <v>278</v>
      </c>
    </row>
    <row r="105" spans="3:6">
      <c r="D105" s="159" t="s">
        <v>279</v>
      </c>
      <c r="E105" s="160">
        <v>24500</v>
      </c>
    </row>
    <row r="106" spans="3:6">
      <c r="D106" s="159" t="s">
        <v>280</v>
      </c>
      <c r="E106" s="160">
        <v>24747.47</v>
      </c>
    </row>
    <row r="107" spans="3:6">
      <c r="D107" s="159" t="s">
        <v>281</v>
      </c>
      <c r="E107" s="161">
        <v>5.8000000000000003E-2</v>
      </c>
    </row>
    <row r="108" spans="3:6">
      <c r="D108" s="159" t="s">
        <v>282</v>
      </c>
      <c r="E108" s="161">
        <v>0.01</v>
      </c>
    </row>
    <row r="109" spans="3:6">
      <c r="D109" s="159" t="s">
        <v>283</v>
      </c>
      <c r="E109" s="159" t="s">
        <v>284</v>
      </c>
    </row>
    <row r="110" spans="3:6">
      <c r="D110" s="159" t="s">
        <v>285</v>
      </c>
      <c r="E110" s="160">
        <v>50</v>
      </c>
    </row>
    <row r="111" spans="3:6">
      <c r="D111" s="159" t="s">
        <v>286</v>
      </c>
      <c r="E111" s="159" t="s">
        <v>287</v>
      </c>
    </row>
    <row r="112" spans="3:6">
      <c r="D112" s="159" t="s">
        <v>288</v>
      </c>
      <c r="E112" s="159" t="s">
        <v>289</v>
      </c>
    </row>
    <row r="113" spans="4:5">
      <c r="D113" s="159" t="s">
        <v>290</v>
      </c>
      <c r="E113" s="159" t="s">
        <v>291</v>
      </c>
    </row>
    <row r="114" spans="4:5">
      <c r="D114" s="159" t="s">
        <v>292</v>
      </c>
      <c r="E114" s="160">
        <v>12250</v>
      </c>
    </row>
    <row r="115" spans="4:5">
      <c r="D115" s="159"/>
    </row>
    <row r="116" spans="4:5">
      <c r="D116" s="162" t="s">
        <v>293</v>
      </c>
      <c r="E116" s="163">
        <v>272.27</v>
      </c>
    </row>
    <row r="117" spans="4:5">
      <c r="D117" s="159" t="s">
        <v>294</v>
      </c>
      <c r="E117" s="159">
        <v>120</v>
      </c>
    </row>
    <row r="118" spans="4:5">
      <c r="D118" s="159"/>
    </row>
    <row r="119" spans="4:5">
      <c r="D119" s="159" t="s">
        <v>295</v>
      </c>
      <c r="E119" s="160">
        <v>32672.2</v>
      </c>
    </row>
    <row r="120" spans="4:5">
      <c r="D120" s="159" t="s">
        <v>296</v>
      </c>
      <c r="E120" s="160">
        <v>8172.2</v>
      </c>
    </row>
  </sheetData>
  <mergeCells count="6">
    <mergeCell ref="M8:M9"/>
    <mergeCell ref="H8:I9"/>
    <mergeCell ref="K8:L9"/>
    <mergeCell ref="E82:F82"/>
    <mergeCell ref="E101:F101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Calculations</vt:lpstr>
      <vt:lpstr>Data</vt:lpstr>
      <vt:lpstr>FisherPryBasic</vt:lpstr>
      <vt:lpstr>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2020-04-24T15:06:35Z</dcterms:created>
  <dcterms:modified xsi:type="dcterms:W3CDTF">2020-05-01T22:32:17Z</dcterms:modified>
</cp:coreProperties>
</file>