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S " sheetId="1" r:id="rId4"/>
    <sheet state="visible" name="FORMULA" sheetId="2" r:id="rId5"/>
    <sheet state="visible" name="Hoja 2" sheetId="3" r:id="rId6"/>
    <sheet state="visible" name="Hoja 1" sheetId="4" r:id="rId7"/>
    <sheet state="visible" name="formulas jimmy" sheetId="5" r:id="rId8"/>
    <sheet state="visible" name="materia prima " sheetId="6" r:id="rId9"/>
  </sheets>
  <definedNames>
    <definedName localSheetId="5" name="Capital">#REF!</definedName>
    <definedName localSheetId="5" name="Núm_de_pago">#REF!</definedName>
    <definedName localSheetId="5" name="Núm_pagos_al_año">#REF!</definedName>
    <definedName name="Capital">#REF!</definedName>
    <definedName name="Int">#REF!</definedName>
    <definedName localSheetId="5" name="Saldo_inicial">#REF!</definedName>
    <definedName name="Tasa_de_interés">#REF!</definedName>
    <definedName localSheetId="5" name="Int">#REF!</definedName>
    <definedName name="Saldo_inicial">#REF!</definedName>
    <definedName name="Pago_total">#REF!</definedName>
    <definedName localSheetId="5" name="Pago_adicional">#REF!</definedName>
    <definedName localSheetId="5" name="Importe_del_préstamo">#REF!</definedName>
    <definedName localSheetId="5" name="Años_préstamo">#REF!</definedName>
    <definedName localSheetId="5" name="Pagos_adicionales_programados">#REF!</definedName>
    <definedName name="Interés_total">#REF!</definedName>
    <definedName localSheetId="5" name="Saldo_final">#REF!</definedName>
    <definedName name="Pago_progr">#REF!</definedName>
    <definedName name="Pago_adicional">#REF!</definedName>
    <definedName name="Datos">#REF!</definedName>
    <definedName name="Pagos_adicionales_programados">#REF!</definedName>
    <definedName name="Int_acum">#REF!</definedName>
    <definedName localSheetId="5" name="Datos">#REF!</definedName>
    <definedName localSheetId="5" name="Tasa_de_interés">#REF!</definedName>
    <definedName localSheetId="5" name="Pago_mensual_programado">#REF!</definedName>
    <definedName localSheetId="5" name="Pago_progr">#REF!</definedName>
    <definedName name="Fecha_de_pago">#REF!</definedName>
    <definedName localSheetId="5" name="Impresión_completa">#REF!</definedName>
    <definedName localSheetId="5" name="Interés_total">#REF!</definedName>
    <definedName localSheetId="5" name="Fila_de_encabezado">#REF!</definedName>
    <definedName name="Saldo_final">#REF!</definedName>
    <definedName name="Pago_mensual_programado">#REF!</definedName>
    <definedName name="Inicio_prestamo">#REF!</definedName>
    <definedName name="Importe_del_préstamo">#REF!</definedName>
    <definedName localSheetId="5" name="Inicio_prestamo">#REF!</definedName>
    <definedName name="Años_préstamo">#REF!</definedName>
    <definedName localSheetId="5" name="Fecha_de_pago">#REF!</definedName>
    <definedName localSheetId="5" name="Int_acum">#REF!</definedName>
    <definedName localSheetId="5" name="Tasa_de_interés_programada">#REF!</definedName>
    <definedName name="Fila_de_encabezado">#REF!</definedName>
    <definedName name="Núm_pagos_al_año">#REF!</definedName>
    <definedName localSheetId="5" name="Pago_total">#REF!</definedName>
    <definedName name="Núm_de_pago">#REF!</definedName>
    <definedName name="Impresión_completa">#REF!</definedName>
    <definedName name="Tasa_de_interés_programada">#REF!</definedName>
  </definedNames>
  <calcPr/>
  <extLst>
    <ext uri="GoogleSheetsCustomDataVersion2">
      <go:sheetsCustomData xmlns:go="http://customooxmlschemas.google.com/" r:id="rId10" roundtripDataChecksum="pa4fHOkDp8fKsoA/zS56gjgydSdxw8MAzncb8hlnGB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32">
      <text>
        <t xml:space="preserve">======
ID#AAAALPwixrc
Autor    (2020-12-19 17:20:10)
leche liquida</t>
      </text>
    </comment>
  </commentList>
  <extLst>
    <ext uri="GoogleSheetsCustomDataVersion2">
      <go:sheetsCustomData xmlns:go="http://customooxmlschemas.google.com/" r:id="rId1" roundtripDataSignature="AMtx7mjaCv2Oa1eXWk3IOh50+R1nHZr3oA=="/>
    </ext>
  </extLst>
</comments>
</file>

<file path=xl/sharedStrings.xml><?xml version="1.0" encoding="utf-8"?>
<sst xmlns="http://schemas.openxmlformats.org/spreadsheetml/2006/main" count="1666" uniqueCount="184">
  <si>
    <t xml:space="preserve">ingredientes </t>
  </si>
  <si>
    <t>precio</t>
  </si>
  <si>
    <t>gramos</t>
  </si>
  <si>
    <t>total gramo</t>
  </si>
  <si>
    <t>buñuelo jhon</t>
  </si>
  <si>
    <t>total precio  gramos</t>
  </si>
  <si>
    <t>grande</t>
  </si>
  <si>
    <t>DULCE</t>
  </si>
  <si>
    <t>COCO</t>
  </si>
  <si>
    <t>MAIZ</t>
  </si>
  <si>
    <t>QUESO</t>
  </si>
  <si>
    <t>costeno</t>
  </si>
  <si>
    <t>antojito</t>
  </si>
  <si>
    <t>leche</t>
  </si>
  <si>
    <t>buñoelo fecho</t>
  </si>
  <si>
    <t>pabdebono</t>
  </si>
  <si>
    <t>buñuelo</t>
  </si>
  <si>
    <t>harina</t>
  </si>
  <si>
    <t>azucar</t>
  </si>
  <si>
    <t xml:space="preserve">huevos </t>
  </si>
  <si>
    <t>sal</t>
  </si>
  <si>
    <t>mantequilla AT</t>
  </si>
  <si>
    <t xml:space="preserve">ecencia </t>
  </si>
  <si>
    <t>levadura</t>
  </si>
  <si>
    <t>queso</t>
  </si>
  <si>
    <t>color</t>
  </si>
  <si>
    <t xml:space="preserve">arequipe </t>
  </si>
  <si>
    <t xml:space="preserve">fecula </t>
  </si>
  <si>
    <t>hojaldre</t>
  </si>
  <si>
    <t>leche en polvo</t>
  </si>
  <si>
    <t xml:space="preserve">manq de vaca </t>
  </si>
  <si>
    <t xml:space="preserve">TOTAL GRAMOS </t>
  </si>
  <si>
    <t>polvo de horniar</t>
  </si>
  <si>
    <t>VALOR UNIDAD</t>
  </si>
  <si>
    <t xml:space="preserve">VALOR UNIDAD </t>
  </si>
  <si>
    <t xml:space="preserve">colmaiz </t>
  </si>
  <si>
    <t>PESO  UNI PEQUE</t>
  </si>
  <si>
    <t>promaza</t>
  </si>
  <si>
    <t>TOTAL PANES</t>
  </si>
  <si>
    <t>azucar en polvo</t>
  </si>
  <si>
    <t>TOTAL PRODUCION</t>
  </si>
  <si>
    <t>PEQUEÑO</t>
  </si>
  <si>
    <t>almidon</t>
  </si>
  <si>
    <t xml:space="preserve">VALOR COSTO </t>
  </si>
  <si>
    <t>aceite</t>
  </si>
  <si>
    <t>MANO DE OBRA</t>
  </si>
  <si>
    <t>uvas pasa</t>
  </si>
  <si>
    <t>GAS ELECTICIDAD</t>
  </si>
  <si>
    <t>frurta crista</t>
  </si>
  <si>
    <t xml:space="preserve">GASTOS DE VENTA </t>
  </si>
  <si>
    <t>nuez brasil</t>
  </si>
  <si>
    <t>VENDEDORAS</t>
  </si>
  <si>
    <t>coco dulce</t>
  </si>
  <si>
    <t xml:space="preserve">TOTAL </t>
  </si>
  <si>
    <t xml:space="preserve">coco simple </t>
  </si>
  <si>
    <t>scernido</t>
  </si>
  <si>
    <t>otros</t>
  </si>
  <si>
    <t xml:space="preserve"> </t>
  </si>
  <si>
    <t>agua</t>
  </si>
  <si>
    <t>EPANDEX</t>
  </si>
  <si>
    <t>queso relleno</t>
  </si>
  <si>
    <t>arequipe</t>
  </si>
  <si>
    <t>decorado</t>
  </si>
  <si>
    <t>pasas</t>
  </si>
  <si>
    <t>coco</t>
  </si>
  <si>
    <t>jamon</t>
  </si>
  <si>
    <t>total</t>
  </si>
  <si>
    <t xml:space="preserve">CREMA PARA FRIA </t>
  </si>
  <si>
    <t xml:space="preserve">CREMA DE LECHE </t>
  </si>
  <si>
    <t>LECHE CONDENSADA</t>
  </si>
  <si>
    <t>BRANDY</t>
  </si>
  <si>
    <t>premescla</t>
  </si>
  <si>
    <t>relleno durasno</t>
  </si>
  <si>
    <t>fresas</t>
  </si>
  <si>
    <t>$ PR 5X 2000 leche 1300 PESO</t>
  </si>
  <si>
    <t>GRS</t>
  </si>
  <si>
    <t xml:space="preserve">galleta </t>
  </si>
  <si>
    <t>mantequilla</t>
  </si>
  <si>
    <t>ecencia MANTEQUILLA</t>
  </si>
  <si>
    <t xml:space="preserve">PESO DE PICADA </t>
  </si>
  <si>
    <t>levche liquida</t>
  </si>
  <si>
    <t>AGUA</t>
  </si>
  <si>
    <t xml:space="preserve">$ 1000 costeno 2700 PESO </t>
  </si>
  <si>
    <t>PASTEL PORCIONADO</t>
  </si>
  <si>
    <t>ecencia de vainilla negra</t>
  </si>
  <si>
    <t>5 pasaditas x el cilindro</t>
  </si>
  <si>
    <t>relleno</t>
  </si>
  <si>
    <t>pan antojito 1300 PESO</t>
  </si>
  <si>
    <t xml:space="preserve">PLANCAHAS 3 LECHES </t>
  </si>
  <si>
    <t>a. en polvo</t>
  </si>
  <si>
    <t>ecencia coco</t>
  </si>
  <si>
    <t xml:space="preserve">LECHE 3 LECHES </t>
  </si>
  <si>
    <t>LECHE EN POVO</t>
  </si>
  <si>
    <t>CREMA DE LECHE</t>
  </si>
  <si>
    <t xml:space="preserve">CREMA PARA DECORAR </t>
  </si>
  <si>
    <t>AZUCAR</t>
  </si>
  <si>
    <t>PERAS</t>
  </si>
  <si>
    <t xml:space="preserve">BRANDI O LICOR </t>
  </si>
  <si>
    <t>ESENCIA DE CANELA</t>
  </si>
  <si>
    <t xml:space="preserve">torta fria </t>
  </si>
  <si>
    <t>chifion</t>
  </si>
  <si>
    <t>DECORADO</t>
  </si>
  <si>
    <t>TOTAL TORTAS</t>
  </si>
  <si>
    <t>ecencia de al gusto</t>
  </si>
  <si>
    <t>pan  cuadrado</t>
  </si>
  <si>
    <t>decurado</t>
  </si>
  <si>
    <t>dursno</t>
  </si>
  <si>
    <t>pan aliñado grande 2000</t>
  </si>
  <si>
    <t>PAN 3000</t>
  </si>
  <si>
    <t xml:space="preserve"> base</t>
  </si>
  <si>
    <t>ecencia de mantequilla</t>
  </si>
  <si>
    <t>fecula</t>
  </si>
  <si>
    <t>pan aliñado grande 1000</t>
  </si>
  <si>
    <t>pan  calentano</t>
  </si>
  <si>
    <t>5 buelticas x el cilomdro</t>
  </si>
  <si>
    <t>CUCAS DE PANELA</t>
  </si>
  <si>
    <t>PANELA</t>
  </si>
  <si>
    <t>ecencia de canela</t>
  </si>
  <si>
    <t>colorcaramelo</t>
  </si>
  <si>
    <t>ralladura de limon</t>
  </si>
  <si>
    <t>bicarbonato</t>
  </si>
  <si>
    <t xml:space="preserve">pande sal </t>
  </si>
  <si>
    <t>pan de maiz</t>
  </si>
  <si>
    <t>MAIZ CILINDRADO</t>
  </si>
  <si>
    <t>ecencia de queso</t>
  </si>
  <si>
    <t>LECHE POLVO</t>
  </si>
  <si>
    <t>AREPA CHOCHOLO</t>
  </si>
  <si>
    <t xml:space="preserve">QUESO RELLENO </t>
  </si>
  <si>
    <t>pan dulce</t>
  </si>
  <si>
    <t>ecencia vainilla</t>
  </si>
  <si>
    <t>alchiras</t>
  </si>
  <si>
    <t>nada</t>
  </si>
  <si>
    <t>ecencia mantequilla</t>
  </si>
  <si>
    <t>pan coco  peso 1700</t>
  </si>
  <si>
    <t>ecencia de coco</t>
  </si>
  <si>
    <t>coco relleno</t>
  </si>
  <si>
    <t>pan rollo</t>
  </si>
  <si>
    <t>pan palitos</t>
  </si>
  <si>
    <t>totadas</t>
  </si>
  <si>
    <t>chicharon</t>
  </si>
  <si>
    <t xml:space="preserve">claras de huevos </t>
  </si>
  <si>
    <t>ecencia de vainilla</t>
  </si>
  <si>
    <t>2 dobles 2 sencillas</t>
  </si>
  <si>
    <t xml:space="preserve">BUÑUELOS FECULA </t>
  </si>
  <si>
    <t>colmaiz</t>
  </si>
  <si>
    <t>FECULA</t>
  </si>
  <si>
    <t>ALMIDON</t>
  </si>
  <si>
    <t>HUEVO</t>
  </si>
  <si>
    <t>expandexc</t>
  </si>
  <si>
    <t>BUÑUELOS MIXTOS</t>
  </si>
  <si>
    <t>mariquiteño</t>
  </si>
  <si>
    <t>campecino</t>
  </si>
  <si>
    <t>4 vueltas semcillas en la mesa</t>
  </si>
  <si>
    <t>pan hamburgesa</t>
  </si>
  <si>
    <t>antimoho</t>
  </si>
  <si>
    <t>mejorador</t>
  </si>
  <si>
    <t>almojabana</t>
  </si>
  <si>
    <t>MANTEQUILLA</t>
  </si>
  <si>
    <t xml:space="preserve">leche liquida </t>
  </si>
  <si>
    <t xml:space="preserve">promaza </t>
  </si>
  <si>
    <t>expandex</t>
  </si>
  <si>
    <t xml:space="preserve">polvo </t>
  </si>
  <si>
    <t>PANDEBONO</t>
  </si>
  <si>
    <t>AGRIDULCE   2100 de 1000</t>
  </si>
  <si>
    <t>ecencia de piña naranja</t>
  </si>
  <si>
    <t>.</t>
  </si>
  <si>
    <t xml:space="preserve">palitos de queso </t>
  </si>
  <si>
    <t>PAN LECHE 1300</t>
  </si>
  <si>
    <t>pan  cuadrado 1300</t>
  </si>
  <si>
    <t>pan rollo 1300</t>
  </si>
  <si>
    <t>pan aliñado  1000 PIQUE  2000  X 1        2000 PIQUE 2550 X2                                       EL 3000  PIQUE 3400 X 3</t>
  </si>
  <si>
    <t>pande sal   EL PIQUE 1300</t>
  </si>
  <si>
    <t>AGRIDULCE pique 1200 y 1800 de 1000</t>
  </si>
  <si>
    <t>pan de maiz 1300</t>
  </si>
  <si>
    <t>pan coco  peso 1300</t>
  </si>
  <si>
    <t>pan dulce 1300</t>
  </si>
  <si>
    <t>aliñado</t>
  </si>
  <si>
    <t>calenteno</t>
  </si>
  <si>
    <t>se molda larguito</t>
  </si>
  <si>
    <t>leche liquida</t>
  </si>
  <si>
    <t>se molda obalado</t>
  </si>
  <si>
    <t>ron</t>
  </si>
  <si>
    <t>premesca torta fria</t>
  </si>
  <si>
    <t xml:space="preserve"> durasno tarro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</si>
</sst>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_-;\-* #,##0_-;_-* &quot;-&quot;??_-;_-@"/>
    <numFmt numFmtId="165" formatCode="_(* #,##0_);_(* \(#,##0\);_(* &quot;-&quot;??_);_(@_)"/>
    <numFmt numFmtId="166" formatCode="_-&quot;$&quot;* #,##0_-;\-&quot;$&quot;* #,##0_-;_-&quot;$&quot;* &quot;-&quot;??_-;_-@"/>
    <numFmt numFmtId="167" formatCode="0.0%"/>
    <numFmt numFmtId="168" formatCode="#,##0.0000"/>
  </numFmts>
  <fonts count="12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rgb="FF000000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strike/>
      <sz val="11.0"/>
      <color theme="1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b/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3300"/>
        <bgColor rgb="FFFF3300"/>
      </patternFill>
    </fill>
    <fill>
      <patternFill patternType="solid">
        <fgColor theme="0"/>
        <bgColor theme="0"/>
      </patternFill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textRotation="45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Border="1" applyFont="1"/>
    <xf borderId="6" fillId="0" fontId="2" numFmtId="164" xfId="0" applyAlignment="1" applyBorder="1" applyFont="1" applyNumberFormat="1">
      <alignment readingOrder="0"/>
    </xf>
    <xf borderId="6" fillId="0" fontId="2" numFmtId="164" xfId="0" applyBorder="1" applyFont="1" applyNumberFormat="1"/>
    <xf borderId="0" fillId="0" fontId="2" numFmtId="0" xfId="0" applyFont="1"/>
    <xf borderId="7" fillId="2" fontId="2" numFmtId="0" xfId="0" applyAlignment="1" applyBorder="1" applyFill="1" applyFont="1">
      <alignment readingOrder="0"/>
    </xf>
    <xf borderId="7" fillId="2" fontId="2" numFmtId="0" xfId="0" applyBorder="1" applyFont="1"/>
    <xf borderId="8" fillId="2" fontId="2" numFmtId="0" xfId="0" applyBorder="1" applyFont="1"/>
    <xf borderId="9" fillId="0" fontId="2" numFmtId="0" xfId="0" applyBorder="1" applyFont="1"/>
    <xf borderId="9" fillId="0" fontId="2" numFmtId="164" xfId="0" applyAlignment="1" applyBorder="1" applyFont="1" applyNumberFormat="1">
      <alignment readingOrder="0"/>
    </xf>
    <xf borderId="9" fillId="2" fontId="2" numFmtId="0" xfId="0" applyBorder="1" applyFont="1"/>
    <xf borderId="10" fillId="2" fontId="2" numFmtId="0" xfId="0" applyBorder="1" applyFont="1"/>
    <xf borderId="9" fillId="0" fontId="2" numFmtId="164" xfId="0" applyBorder="1" applyFont="1" applyNumberFormat="1"/>
    <xf borderId="9" fillId="0" fontId="2" numFmtId="1" xfId="0" applyBorder="1" applyFont="1" applyNumberFormat="1"/>
    <xf borderId="0" fillId="0" fontId="1" numFmtId="0" xfId="0" applyAlignment="1" applyFont="1">
      <alignment horizontal="center"/>
    </xf>
    <xf borderId="9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13" fillId="3" fontId="4" numFmtId="3" xfId="0" applyBorder="1" applyFill="1" applyFont="1" applyNumberFormat="1"/>
    <xf borderId="13" fillId="3" fontId="2" numFmtId="3" xfId="0" applyBorder="1" applyFont="1" applyNumberFormat="1"/>
    <xf borderId="14" fillId="0" fontId="2" numFmtId="3" xfId="0" applyAlignment="1" applyBorder="1" applyFont="1" applyNumberFormat="1">
      <alignment readingOrder="0"/>
    </xf>
    <xf borderId="5" fillId="0" fontId="2" numFmtId="3" xfId="0" applyAlignment="1" applyBorder="1" applyFont="1" applyNumberFormat="1">
      <alignment readingOrder="0"/>
    </xf>
    <xf borderId="0" fillId="0" fontId="5" numFmtId="0" xfId="0" applyFont="1"/>
    <xf borderId="13" fillId="0" fontId="2" numFmtId="0" xfId="0" applyBorder="1" applyFont="1"/>
    <xf borderId="5" fillId="0" fontId="2" numFmtId="3" xfId="0" applyBorder="1" applyFont="1" applyNumberFormat="1"/>
    <xf borderId="13" fillId="2" fontId="2" numFmtId="3" xfId="0" applyBorder="1" applyFont="1" applyNumberFormat="1"/>
    <xf borderId="13" fillId="0" fontId="2" numFmtId="3" xfId="0" applyBorder="1" applyFont="1" applyNumberFormat="1"/>
    <xf borderId="0" fillId="0" fontId="6" numFmtId="0" xfId="0" applyFont="1"/>
    <xf borderId="0" fillId="0" fontId="1" numFmtId="164" xfId="0" applyFont="1" applyNumberFormat="1"/>
    <xf borderId="15" fillId="2" fontId="1" numFmtId="0" xfId="0" applyBorder="1" applyFont="1"/>
    <xf borderId="0" fillId="0" fontId="1" numFmtId="0" xfId="0" applyFont="1"/>
    <xf borderId="0" fillId="0" fontId="7" numFmtId="0" xfId="0" applyAlignment="1" applyFont="1">
      <alignment horizontal="center" readingOrder="0" shrinkToFit="0" wrapText="1"/>
    </xf>
    <xf borderId="0" fillId="0" fontId="7" numFmtId="165" xfId="0" applyAlignment="1" applyFont="1" applyNumberFormat="1">
      <alignment horizontal="center" shrinkToFit="0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8" numFmtId="9" xfId="0" applyFont="1" applyNumberFormat="1"/>
    <xf borderId="0" fillId="0" fontId="8" numFmtId="165" xfId="0" applyFont="1" applyNumberFormat="1"/>
    <xf borderId="0" fillId="0" fontId="9" numFmtId="3" xfId="0" applyFont="1" applyNumberFormat="1"/>
    <xf borderId="0" fillId="0" fontId="7" numFmtId="0" xfId="0" applyAlignment="1" applyFont="1">
      <alignment horizontal="center" shrinkToFit="0" wrapText="1"/>
    </xf>
    <xf borderId="0" fillId="0" fontId="8" numFmtId="9" xfId="0" applyAlignment="1" applyFont="1" applyNumberFormat="1">
      <alignment readingOrder="0"/>
    </xf>
    <xf borderId="0" fillId="0" fontId="8" numFmtId="166" xfId="0" applyFont="1" applyNumberFormat="1"/>
    <xf borderId="0" fillId="0" fontId="8" numFmtId="3" xfId="0" applyFont="1" applyNumberFormat="1"/>
    <xf borderId="0" fillId="0" fontId="8" numFmtId="3" xfId="0" applyAlignment="1" applyFont="1" applyNumberFormat="1">
      <alignment readingOrder="0"/>
    </xf>
    <xf borderId="15" fillId="4" fontId="7" numFmtId="0" xfId="0" applyBorder="1" applyFill="1" applyFont="1"/>
    <xf borderId="0" fillId="0" fontId="8" numFmtId="0" xfId="0" applyAlignment="1" applyFont="1">
      <alignment readingOrder="0" shrinkToFit="0" wrapText="1"/>
    </xf>
    <xf borderId="0" fillId="0" fontId="8" numFmtId="167" xfId="0" applyFont="1" applyNumberFormat="1"/>
    <xf borderId="0" fillId="0" fontId="9" numFmtId="3" xfId="0" applyAlignment="1" applyFont="1" applyNumberFormat="1">
      <alignment readingOrder="0"/>
    </xf>
    <xf borderId="0" fillId="0" fontId="9" numFmtId="168" xfId="0" applyFont="1" applyNumberFormat="1"/>
    <xf borderId="0" fillId="0" fontId="8" numFmtId="164" xfId="0" applyFont="1" applyNumberFormat="1"/>
    <xf borderId="0" fillId="0" fontId="8" numFmtId="1" xfId="0" applyFont="1" applyNumberFormat="1"/>
    <xf borderId="0" fillId="0" fontId="10" numFmtId="0" xfId="0" applyAlignment="1" applyFont="1">
      <alignment readingOrder="0"/>
    </xf>
    <xf borderId="0" fillId="0" fontId="9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11" numFmtId="0" xfId="0" applyAlignment="1" applyFont="1">
      <alignment horizontal="center" readingOrder="0" shrinkToFit="0" wrapText="1"/>
    </xf>
    <xf borderId="9" fillId="0" fontId="1" numFmtId="0" xfId="0" applyBorder="1" applyFont="1"/>
    <xf borderId="16" fillId="0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6.43"/>
    <col customWidth="1" min="3" max="3" width="13.71"/>
    <col customWidth="1" min="4" max="4" width="9.14"/>
    <col customWidth="1" min="5" max="5" width="11.71"/>
    <col customWidth="1" min="6" max="6" width="4.0"/>
    <col customWidth="1" min="7" max="7" width="13.14"/>
    <col customWidth="1" min="8" max="8" width="5.71"/>
    <col customWidth="1" min="9" max="10" width="10.86"/>
    <col customWidth="1" min="11" max="11" width="9.14"/>
    <col customWidth="1" min="12" max="12" width="10.86"/>
    <col customWidth="1" min="13" max="13" width="4.57"/>
    <col customWidth="1" min="14" max="14" width="8.29"/>
    <col customWidth="1" min="15" max="15" width="6.57"/>
    <col customWidth="1" min="16" max="16" width="10.0"/>
    <col customWidth="1" min="17" max="17" width="7.86"/>
    <col customWidth="1" min="18" max="18" width="8.43"/>
    <col customWidth="1" min="19" max="19" width="7.86"/>
    <col customWidth="1" min="20" max="20" width="13.14"/>
    <col customWidth="1" min="21" max="21" width="7.0"/>
    <col customWidth="1" min="22" max="22" width="5.71"/>
    <col customWidth="1" min="23" max="23" width="7.57"/>
    <col customWidth="1" min="24" max="24" width="5.71"/>
    <col customWidth="1" min="25" max="25" width="5.14"/>
    <col customWidth="1" min="26" max="27" width="5.71"/>
    <col customWidth="1" min="28" max="42" width="9.14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0</v>
      </c>
      <c r="H1" s="2" t="s">
        <v>4</v>
      </c>
      <c r="I1" s="2" t="s">
        <v>5</v>
      </c>
      <c r="J1" s="2"/>
      <c r="K1" s="2"/>
      <c r="L1" s="2"/>
      <c r="M1" s="2"/>
      <c r="N1" s="2"/>
      <c r="O1" s="2"/>
      <c r="P1" s="2" t="s">
        <v>6</v>
      </c>
      <c r="Q1" s="2" t="s">
        <v>7</v>
      </c>
      <c r="R1" s="2" t="s">
        <v>8</v>
      </c>
      <c r="S1" s="2" t="s">
        <v>9</v>
      </c>
      <c r="T1" s="2" t="s">
        <v>0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4</v>
      </c>
      <c r="AA1" s="2" t="s">
        <v>15</v>
      </c>
      <c r="AB1" s="2"/>
      <c r="AC1" s="2"/>
      <c r="AD1" s="2"/>
      <c r="AE1" s="2"/>
      <c r="AF1" s="2"/>
      <c r="AG1" s="2"/>
      <c r="AH1" s="2"/>
      <c r="AI1" s="3"/>
      <c r="AJ1" s="3"/>
      <c r="AK1" s="2" t="s">
        <v>16</v>
      </c>
      <c r="AL1" s="3"/>
      <c r="AM1" s="3"/>
      <c r="AN1" s="3"/>
      <c r="AO1" s="3"/>
      <c r="AP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15.75" customHeigh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5.75" customHeight="1">
      <c r="B5" s="7" t="s">
        <v>17</v>
      </c>
      <c r="C5" s="8">
        <v>179000.0</v>
      </c>
      <c r="D5" s="7">
        <v>50000.0</v>
      </c>
      <c r="E5" s="9">
        <f t="shared" ref="E5:E33" si="1">C5/D5</f>
        <v>3.58</v>
      </c>
      <c r="F5" s="10"/>
      <c r="G5" s="7" t="str">
        <f t="shared" ref="G5:G33" si="2">B5</f>
        <v>harina</v>
      </c>
      <c r="H5" s="11">
        <v>4500.0</v>
      </c>
      <c r="I5" s="7">
        <f t="shared" ref="I5:I33" si="3">H5*E5</f>
        <v>16110</v>
      </c>
      <c r="P5" s="12">
        <v>12500.0</v>
      </c>
      <c r="Q5" s="12">
        <v>6250.0</v>
      </c>
      <c r="R5" s="12">
        <v>3125.0</v>
      </c>
      <c r="S5" s="12">
        <v>3125.0</v>
      </c>
      <c r="T5" s="13" t="str">
        <f t="shared" ref="T5:T33" si="4">B5</f>
        <v>harina</v>
      </c>
      <c r="U5" s="12">
        <v>3125.0</v>
      </c>
      <c r="V5" s="12">
        <v>3125.0</v>
      </c>
      <c r="W5" s="12">
        <v>3125.0</v>
      </c>
      <c r="X5" s="12">
        <v>3125.0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B6" s="14" t="s">
        <v>18</v>
      </c>
      <c r="C6" s="15">
        <v>210000.0</v>
      </c>
      <c r="D6" s="14">
        <v>50000.0</v>
      </c>
      <c r="E6" s="14">
        <f t="shared" si="1"/>
        <v>4.2</v>
      </c>
      <c r="F6" s="10"/>
      <c r="G6" s="14" t="str">
        <f t="shared" si="2"/>
        <v>azucar</v>
      </c>
      <c r="H6" s="11">
        <v>750.0</v>
      </c>
      <c r="I6" s="14">
        <f t="shared" si="3"/>
        <v>3150</v>
      </c>
      <c r="P6" s="16">
        <v>1500.0</v>
      </c>
      <c r="Q6" s="16">
        <v>1250.0</v>
      </c>
      <c r="R6" s="16">
        <v>750.0</v>
      </c>
      <c r="S6" s="16">
        <v>375.0</v>
      </c>
      <c r="T6" s="17" t="str">
        <f t="shared" si="4"/>
        <v>azucar</v>
      </c>
      <c r="U6" s="16">
        <v>375.0</v>
      </c>
      <c r="V6" s="12">
        <v>1000.0</v>
      </c>
      <c r="W6" s="12">
        <v>625.0</v>
      </c>
      <c r="X6" s="12">
        <v>375.0</v>
      </c>
      <c r="Y6" s="12">
        <v>1000.0</v>
      </c>
      <c r="Z6" s="12">
        <v>750.0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>
        <v>1080.0</v>
      </c>
    </row>
    <row r="7">
      <c r="B7" s="14" t="s">
        <v>19</v>
      </c>
      <c r="C7" s="18">
        <f>16800/30</f>
        <v>560</v>
      </c>
      <c r="D7" s="14">
        <v>45.0</v>
      </c>
      <c r="E7" s="19">
        <f t="shared" si="1"/>
        <v>12.44444444</v>
      </c>
      <c r="F7" s="10"/>
      <c r="G7" s="14" t="str">
        <f t="shared" si="2"/>
        <v>huevos </v>
      </c>
      <c r="H7" s="12">
        <v>240.0</v>
      </c>
      <c r="I7" s="14">
        <f t="shared" si="3"/>
        <v>2986.666667</v>
      </c>
      <c r="N7" s="20"/>
      <c r="P7" s="16">
        <v>25.0</v>
      </c>
      <c r="Q7" s="16">
        <v>540.0</v>
      </c>
      <c r="R7" s="16">
        <v>270.0</v>
      </c>
      <c r="S7" s="16">
        <v>270.0</v>
      </c>
      <c r="T7" s="17" t="str">
        <f t="shared" si="4"/>
        <v>huevos </v>
      </c>
      <c r="U7" s="16">
        <v>270.0</v>
      </c>
      <c r="V7" s="12">
        <v>450.0</v>
      </c>
      <c r="W7" s="12">
        <v>270.0</v>
      </c>
      <c r="X7" s="12">
        <v>270.0</v>
      </c>
      <c r="Y7" s="12">
        <v>800.0</v>
      </c>
      <c r="Z7" s="12">
        <v>600.0</v>
      </c>
      <c r="AA7" s="12">
        <v>350.0</v>
      </c>
      <c r="AB7" s="12"/>
      <c r="AC7" s="12"/>
      <c r="AD7" s="12"/>
      <c r="AE7" s="12"/>
      <c r="AF7" s="12"/>
      <c r="AG7" s="12"/>
      <c r="AH7" s="12"/>
      <c r="AI7" s="12"/>
      <c r="AJ7" s="12"/>
      <c r="AK7" s="12">
        <v>1620.0</v>
      </c>
    </row>
    <row r="8">
      <c r="B8" s="14" t="s">
        <v>20</v>
      </c>
      <c r="C8" s="18">
        <f>22500/12</f>
        <v>1875</v>
      </c>
      <c r="D8" s="14">
        <v>1000.0</v>
      </c>
      <c r="E8" s="19">
        <f t="shared" si="1"/>
        <v>1.875</v>
      </c>
      <c r="F8" s="10"/>
      <c r="G8" s="14" t="str">
        <f t="shared" si="2"/>
        <v>sal</v>
      </c>
      <c r="H8" s="11">
        <v>110.0</v>
      </c>
      <c r="I8" s="14">
        <f t="shared" si="3"/>
        <v>206.25</v>
      </c>
      <c r="P8" s="16">
        <v>250.0</v>
      </c>
      <c r="Q8" s="16"/>
      <c r="R8" s="16"/>
      <c r="S8" s="16">
        <v>60.0</v>
      </c>
      <c r="T8" s="17" t="str">
        <f t="shared" si="4"/>
        <v>sal</v>
      </c>
      <c r="U8" s="16">
        <v>60.0</v>
      </c>
      <c r="V8" s="12">
        <v>60.0</v>
      </c>
      <c r="W8" s="12">
        <v>60.0</v>
      </c>
      <c r="X8" s="12">
        <v>60.0</v>
      </c>
      <c r="Y8" s="12">
        <v>120.0</v>
      </c>
      <c r="Z8" s="12">
        <v>40.0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>
      <c r="B9" s="21" t="s">
        <v>21</v>
      </c>
      <c r="C9" s="15">
        <v>120000.0</v>
      </c>
      <c r="D9" s="14">
        <v>15000.0</v>
      </c>
      <c r="E9" s="19">
        <f t="shared" si="1"/>
        <v>8</v>
      </c>
      <c r="F9" s="10"/>
      <c r="G9" s="14" t="str">
        <f t="shared" si="2"/>
        <v>mantequilla AT</v>
      </c>
      <c r="H9" s="11">
        <v>600.0</v>
      </c>
      <c r="I9" s="14">
        <f t="shared" si="3"/>
        <v>4800</v>
      </c>
      <c r="P9" s="16">
        <v>3000.0</v>
      </c>
      <c r="Q9" s="16">
        <v>2000.0</v>
      </c>
      <c r="R9" s="16">
        <v>1000.0</v>
      </c>
      <c r="S9" s="16">
        <v>1000.0</v>
      </c>
      <c r="T9" s="17" t="str">
        <f t="shared" si="4"/>
        <v>mantequilla AT</v>
      </c>
      <c r="U9" s="16">
        <v>500.0</v>
      </c>
      <c r="V9" s="12">
        <v>1000.0</v>
      </c>
      <c r="W9" s="12">
        <v>1000.0</v>
      </c>
      <c r="X9" s="12">
        <v>1000.0</v>
      </c>
      <c r="Y9" s="12"/>
      <c r="Z9" s="12"/>
      <c r="AA9" s="12">
        <v>2300.0</v>
      </c>
      <c r="AB9" s="12">
        <v>400.0</v>
      </c>
      <c r="AC9" s="12"/>
      <c r="AD9" s="12"/>
      <c r="AE9" s="12"/>
      <c r="AF9" s="12"/>
      <c r="AG9" s="12"/>
      <c r="AH9" s="12"/>
      <c r="AI9" s="12"/>
      <c r="AJ9" s="12"/>
      <c r="AK9" s="12"/>
    </row>
    <row r="10">
      <c r="B10" s="14" t="s">
        <v>22</v>
      </c>
      <c r="C10" s="15">
        <v>160000.0</v>
      </c>
      <c r="D10" s="14">
        <v>20000.0</v>
      </c>
      <c r="E10" s="19">
        <f t="shared" si="1"/>
        <v>8</v>
      </c>
      <c r="F10" s="10"/>
      <c r="G10" s="14" t="str">
        <f t="shared" si="2"/>
        <v>ecencia </v>
      </c>
      <c r="H10" s="12">
        <v>5.0</v>
      </c>
      <c r="I10" s="14">
        <f t="shared" si="3"/>
        <v>40</v>
      </c>
      <c r="P10" s="16">
        <v>30.0</v>
      </c>
      <c r="Q10" s="16">
        <v>30.0</v>
      </c>
      <c r="R10" s="16">
        <v>20.0</v>
      </c>
      <c r="S10" s="16">
        <v>20.0</v>
      </c>
      <c r="T10" s="17" t="str">
        <f t="shared" si="4"/>
        <v>ecencia </v>
      </c>
      <c r="U10" s="16">
        <v>20.0</v>
      </c>
      <c r="V10" s="12">
        <v>20.0</v>
      </c>
      <c r="W10" s="12">
        <v>20.0</v>
      </c>
      <c r="X10" s="12">
        <v>20.0</v>
      </c>
      <c r="Y10" s="12">
        <v>80.0</v>
      </c>
      <c r="Z10" s="12">
        <v>60.0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>
        <v>90.0</v>
      </c>
    </row>
    <row r="11">
      <c r="B11" s="14" t="s">
        <v>23</v>
      </c>
      <c r="C11" s="15">
        <v>5300.0</v>
      </c>
      <c r="D11" s="14">
        <v>500.0</v>
      </c>
      <c r="E11" s="19">
        <f t="shared" si="1"/>
        <v>10.6</v>
      </c>
      <c r="F11" s="10"/>
      <c r="G11" s="14" t="str">
        <f t="shared" si="2"/>
        <v>levadura</v>
      </c>
      <c r="H11" s="11">
        <v>170.0</v>
      </c>
      <c r="I11" s="14">
        <f t="shared" si="3"/>
        <v>1802</v>
      </c>
      <c r="P11" s="16">
        <v>400.0</v>
      </c>
      <c r="Q11" s="16">
        <v>200.0</v>
      </c>
      <c r="R11" s="16">
        <v>100.0</v>
      </c>
      <c r="S11" s="16">
        <v>100.0</v>
      </c>
      <c r="T11" s="17" t="str">
        <f t="shared" si="4"/>
        <v>levadura</v>
      </c>
      <c r="U11" s="16">
        <v>100.0</v>
      </c>
      <c r="V11" s="12">
        <v>100.0</v>
      </c>
      <c r="W11" s="12">
        <v>100.0</v>
      </c>
      <c r="X11" s="12">
        <v>100.0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>
      <c r="B12" s="14" t="s">
        <v>24</v>
      </c>
      <c r="C12" s="15">
        <v>18000.0</v>
      </c>
      <c r="D12" s="14">
        <v>1000.0</v>
      </c>
      <c r="E12" s="19">
        <f t="shared" si="1"/>
        <v>18</v>
      </c>
      <c r="F12" s="10"/>
      <c r="G12" s="14" t="str">
        <f t="shared" si="2"/>
        <v>queso</v>
      </c>
      <c r="H12" s="11">
        <v>10000.0</v>
      </c>
      <c r="I12" s="14">
        <f t="shared" si="3"/>
        <v>180000</v>
      </c>
      <c r="P12" s="16"/>
      <c r="Q12" s="16"/>
      <c r="R12" s="16"/>
      <c r="S12" s="16">
        <v>500.0</v>
      </c>
      <c r="T12" s="17" t="str">
        <f t="shared" si="4"/>
        <v>queso</v>
      </c>
      <c r="U12" s="16"/>
      <c r="V12" s="12"/>
      <c r="W12" s="12"/>
      <c r="X12" s="12"/>
      <c r="Y12" s="12">
        <v>3000.0</v>
      </c>
      <c r="Z12" s="12">
        <v>3000.0</v>
      </c>
      <c r="AA12" s="12">
        <v>3000.0</v>
      </c>
      <c r="AB12" s="12">
        <v>1000.0</v>
      </c>
      <c r="AC12" s="12"/>
      <c r="AD12" s="12"/>
      <c r="AE12" s="12"/>
      <c r="AF12" s="12"/>
      <c r="AG12" s="12"/>
      <c r="AH12" s="12"/>
      <c r="AI12" s="12"/>
      <c r="AJ12" s="12"/>
      <c r="AK12" s="12">
        <v>4500.0</v>
      </c>
    </row>
    <row r="13">
      <c r="B13" s="14" t="s">
        <v>25</v>
      </c>
      <c r="C13" s="15">
        <v>12300.0</v>
      </c>
      <c r="D13" s="14">
        <v>500.0</v>
      </c>
      <c r="E13" s="19">
        <f t="shared" si="1"/>
        <v>24.6</v>
      </c>
      <c r="F13" s="10"/>
      <c r="G13" s="14" t="str">
        <f t="shared" si="2"/>
        <v>color</v>
      </c>
      <c r="H13" s="12"/>
      <c r="I13" s="14">
        <f t="shared" si="3"/>
        <v>0</v>
      </c>
      <c r="P13" s="16">
        <v>10.0</v>
      </c>
      <c r="Q13" s="16">
        <v>10.0</v>
      </c>
      <c r="R13" s="16">
        <v>5.0</v>
      </c>
      <c r="S13" s="16">
        <v>5.0</v>
      </c>
      <c r="T13" s="17" t="str">
        <f t="shared" si="4"/>
        <v>color</v>
      </c>
      <c r="U13" s="16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>
      <c r="B14" s="14" t="s">
        <v>26</v>
      </c>
      <c r="C14" s="15">
        <v>172000.0</v>
      </c>
      <c r="D14" s="21">
        <v>20000.0</v>
      </c>
      <c r="E14" s="19">
        <f t="shared" si="1"/>
        <v>8.6</v>
      </c>
      <c r="F14" s="10"/>
      <c r="G14" s="14" t="str">
        <f t="shared" si="2"/>
        <v>arequipe </v>
      </c>
      <c r="H14" s="12"/>
      <c r="I14" s="14">
        <f t="shared" si="3"/>
        <v>0</v>
      </c>
      <c r="P14" s="16"/>
      <c r="Q14" s="16"/>
      <c r="R14" s="16"/>
      <c r="S14" s="16"/>
      <c r="T14" s="17" t="str">
        <f t="shared" si="4"/>
        <v>arequipe </v>
      </c>
      <c r="U14" s="16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>
      <c r="B15" s="14" t="s">
        <v>27</v>
      </c>
      <c r="C15" s="15">
        <v>156000.0</v>
      </c>
      <c r="D15" s="14">
        <v>22000.0</v>
      </c>
      <c r="E15" s="19">
        <f t="shared" si="1"/>
        <v>7.090909091</v>
      </c>
      <c r="F15" s="10"/>
      <c r="G15" s="14" t="str">
        <f t="shared" si="2"/>
        <v>fecula </v>
      </c>
      <c r="H15" s="12"/>
      <c r="I15" s="14">
        <f t="shared" si="3"/>
        <v>0</v>
      </c>
      <c r="P15" s="16"/>
      <c r="Q15" s="16"/>
      <c r="R15" s="16">
        <v>250.0</v>
      </c>
      <c r="S15" s="16">
        <v>150.0</v>
      </c>
      <c r="T15" s="17" t="str">
        <f t="shared" si="4"/>
        <v>fecula </v>
      </c>
      <c r="U15" s="16"/>
      <c r="V15" s="12"/>
      <c r="W15" s="12"/>
      <c r="X15" s="12">
        <v>250.0</v>
      </c>
      <c r="Y15" s="12">
        <v>2000.0</v>
      </c>
      <c r="Z15" s="12">
        <v>3600.0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>
        <v>3000.0</v>
      </c>
    </row>
    <row r="16">
      <c r="B16" s="14" t="s">
        <v>28</v>
      </c>
      <c r="C16" s="15">
        <v>164000.0</v>
      </c>
      <c r="D16" s="14">
        <v>15000.0</v>
      </c>
      <c r="E16" s="19">
        <f t="shared" si="1"/>
        <v>10.93333333</v>
      </c>
      <c r="F16" s="10"/>
      <c r="G16" s="14" t="str">
        <f t="shared" si="2"/>
        <v>hojaldre</v>
      </c>
      <c r="H16" s="11">
        <v>2000.0</v>
      </c>
      <c r="I16" s="14">
        <f t="shared" si="3"/>
        <v>21866.66667</v>
      </c>
      <c r="P16" s="16"/>
      <c r="Q16" s="16"/>
      <c r="R16" s="16"/>
      <c r="S16" s="16"/>
      <c r="T16" s="17" t="str">
        <f t="shared" si="4"/>
        <v>hojaldre</v>
      </c>
      <c r="U16" s="16">
        <v>500.0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>
      <c r="B17" s="14" t="s">
        <v>29</v>
      </c>
      <c r="C17" s="18">
        <v>420000.0</v>
      </c>
      <c r="D17" s="14">
        <v>25000.0</v>
      </c>
      <c r="E17" s="19">
        <f t="shared" si="1"/>
        <v>16.8</v>
      </c>
      <c r="F17" s="10"/>
      <c r="G17" s="14" t="str">
        <f t="shared" si="2"/>
        <v>leche en polvo</v>
      </c>
      <c r="H17" s="12"/>
      <c r="I17" s="14">
        <f t="shared" si="3"/>
        <v>0</v>
      </c>
      <c r="P17" s="16"/>
      <c r="Q17" s="16"/>
      <c r="R17" s="16"/>
      <c r="S17" s="16"/>
      <c r="T17" s="17" t="str">
        <f t="shared" si="4"/>
        <v>leche en polvo</v>
      </c>
      <c r="U17" s="16"/>
      <c r="V17" s="12">
        <v>50.0</v>
      </c>
      <c r="W17" s="12"/>
      <c r="X17" s="12"/>
      <c r="Y17" s="12">
        <v>80.0</v>
      </c>
      <c r="Z17" s="12">
        <v>60.0</v>
      </c>
      <c r="AA17" s="12"/>
      <c r="AB17" s="12">
        <v>800.0</v>
      </c>
      <c r="AC17" s="12"/>
      <c r="AD17" s="12"/>
      <c r="AE17" s="12"/>
      <c r="AF17" s="12"/>
      <c r="AG17" s="12"/>
      <c r="AH17" s="12"/>
      <c r="AI17" s="12"/>
      <c r="AJ17" s="12"/>
      <c r="AK17" s="12"/>
    </row>
    <row r="18">
      <c r="B18" s="14" t="s">
        <v>30</v>
      </c>
      <c r="C18" s="15">
        <v>0.0</v>
      </c>
      <c r="D18" s="14">
        <v>15000.0</v>
      </c>
      <c r="E18" s="19">
        <f t="shared" si="1"/>
        <v>0</v>
      </c>
      <c r="F18" s="10"/>
      <c r="G18" s="14" t="str">
        <f t="shared" si="2"/>
        <v>manq de vaca </v>
      </c>
      <c r="H18" s="12"/>
      <c r="I18" s="14">
        <f t="shared" si="3"/>
        <v>0</v>
      </c>
      <c r="J18" s="22" t="s">
        <v>31</v>
      </c>
      <c r="K18" s="23"/>
      <c r="L18" s="24">
        <f>SUM(H5:H32)-H16</f>
        <v>17275</v>
      </c>
      <c r="P18" s="16">
        <v>1000.0</v>
      </c>
      <c r="Q18" s="16"/>
      <c r="R18" s="16"/>
      <c r="S18" s="16"/>
      <c r="T18" s="17" t="str">
        <f t="shared" si="4"/>
        <v>manq de vaca </v>
      </c>
      <c r="U18" s="16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>
      <c r="B19" s="14" t="s">
        <v>32</v>
      </c>
      <c r="C19" s="15">
        <v>26000.0</v>
      </c>
      <c r="D19" s="14">
        <v>2500.0</v>
      </c>
      <c r="E19" s="19">
        <f t="shared" si="1"/>
        <v>10.4</v>
      </c>
      <c r="F19" s="10"/>
      <c r="G19" s="14" t="str">
        <f t="shared" si="2"/>
        <v>polvo de horniar</v>
      </c>
      <c r="H19" s="12"/>
      <c r="I19" s="14">
        <f t="shared" si="3"/>
        <v>0</v>
      </c>
      <c r="J19" s="22" t="s">
        <v>33</v>
      </c>
      <c r="K19" s="23"/>
      <c r="L19" s="25">
        <f>N20</f>
        <v>2500</v>
      </c>
      <c r="N19" s="22" t="s">
        <v>34</v>
      </c>
      <c r="O19" s="23"/>
      <c r="P19" s="16"/>
      <c r="Q19" s="16"/>
      <c r="R19" s="16">
        <v>30.0</v>
      </c>
      <c r="S19" s="16">
        <v>40.0</v>
      </c>
      <c r="T19" s="17" t="str">
        <f t="shared" si="4"/>
        <v>polvo de horniar</v>
      </c>
      <c r="U19" s="16"/>
      <c r="V19" s="12">
        <v>40.0</v>
      </c>
      <c r="W19" s="12">
        <v>30.0</v>
      </c>
      <c r="X19" s="12">
        <v>30.0</v>
      </c>
      <c r="Y19" s="12">
        <v>120.0</v>
      </c>
      <c r="Z19" s="12">
        <v>120.0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180.0</v>
      </c>
    </row>
    <row r="20">
      <c r="B20" s="14" t="s">
        <v>35</v>
      </c>
      <c r="C20" s="15">
        <v>72000.0</v>
      </c>
      <c r="D20" s="14">
        <v>12000.0</v>
      </c>
      <c r="E20" s="19">
        <f t="shared" si="1"/>
        <v>6</v>
      </c>
      <c r="F20" s="10"/>
      <c r="G20" s="14" t="str">
        <f t="shared" si="2"/>
        <v>colmaiz </v>
      </c>
      <c r="H20" s="12"/>
      <c r="I20" s="14">
        <f t="shared" si="3"/>
        <v>0</v>
      </c>
      <c r="J20" s="22" t="s">
        <v>36</v>
      </c>
      <c r="K20" s="23"/>
      <c r="L20" s="25">
        <f>N22/36</f>
        <v>191.6666667</v>
      </c>
      <c r="N20" s="26">
        <v>2500.0</v>
      </c>
      <c r="P20" s="16"/>
      <c r="Q20" s="16"/>
      <c r="R20" s="16"/>
      <c r="S20" s="16">
        <v>150.0</v>
      </c>
      <c r="T20" s="17" t="str">
        <f t="shared" si="4"/>
        <v>colmaiz </v>
      </c>
      <c r="U20" s="16"/>
      <c r="V20" s="12"/>
      <c r="W20" s="12"/>
      <c r="X20" s="12"/>
      <c r="Y20" s="12"/>
      <c r="Z20" s="12"/>
      <c r="AA20" s="12">
        <v>500.0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ht="15.75" customHeight="1">
      <c r="B21" s="14" t="s">
        <v>37</v>
      </c>
      <c r="C21" s="15">
        <f>35000/24</f>
        <v>1458.333333</v>
      </c>
      <c r="D21" s="14">
        <v>1000.0</v>
      </c>
      <c r="E21" s="19">
        <f t="shared" si="1"/>
        <v>1.458333333</v>
      </c>
      <c r="F21" s="10"/>
      <c r="G21" s="14" t="str">
        <f t="shared" si="2"/>
        <v>promaza</v>
      </c>
      <c r="H21" s="12"/>
      <c r="I21" s="14">
        <f t="shared" si="3"/>
        <v>0</v>
      </c>
      <c r="J21" s="22" t="s">
        <v>38</v>
      </c>
      <c r="K21" s="23"/>
      <c r="L21" s="24">
        <f>L18/L20</f>
        <v>90.13043478</v>
      </c>
      <c r="N21" s="22"/>
      <c r="O21" s="23"/>
      <c r="P21" s="16"/>
      <c r="Q21" s="16"/>
      <c r="R21" s="16"/>
      <c r="S21" s="16">
        <v>400.0</v>
      </c>
      <c r="T21" s="17" t="str">
        <f t="shared" si="4"/>
        <v>promaza</v>
      </c>
      <c r="U21" s="16"/>
      <c r="V21" s="12"/>
      <c r="W21" s="12"/>
      <c r="X21" s="12"/>
      <c r="Y21" s="12"/>
      <c r="Z21" s="12"/>
      <c r="AA21" s="12">
        <v>1000.0</v>
      </c>
      <c r="AB21" s="12">
        <v>400.0</v>
      </c>
      <c r="AC21" s="12"/>
      <c r="AD21" s="12"/>
      <c r="AE21" s="12"/>
      <c r="AF21" s="12"/>
      <c r="AG21" s="12"/>
      <c r="AH21" s="12"/>
      <c r="AI21" s="12"/>
      <c r="AJ21" s="12"/>
      <c r="AK21" s="12"/>
    </row>
    <row r="22" ht="15.75" customHeight="1">
      <c r="B22" s="21" t="s">
        <v>39</v>
      </c>
      <c r="C22" s="15">
        <v>35000.0</v>
      </c>
      <c r="D22" s="14">
        <v>5000.0</v>
      </c>
      <c r="E22" s="19">
        <f t="shared" si="1"/>
        <v>7</v>
      </c>
      <c r="F22" s="10"/>
      <c r="G22" s="14" t="str">
        <f t="shared" si="2"/>
        <v>azucar en polvo</v>
      </c>
      <c r="H22" s="12"/>
      <c r="I22" s="14">
        <f t="shared" si="3"/>
        <v>0</v>
      </c>
      <c r="J22" s="22" t="s">
        <v>40</v>
      </c>
      <c r="K22" s="23"/>
      <c r="L22" s="24">
        <f>L21*L19</f>
        <v>225326.087</v>
      </c>
      <c r="N22" s="27">
        <v>6900.0</v>
      </c>
      <c r="O22" s="28" t="s">
        <v>41</v>
      </c>
      <c r="P22" s="16"/>
      <c r="Q22" s="16"/>
      <c r="R22" s="16"/>
      <c r="S22" s="16"/>
      <c r="T22" s="17" t="str">
        <f t="shared" si="4"/>
        <v>azucar en polvo</v>
      </c>
      <c r="U22" s="16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ht="15.75" customHeight="1">
      <c r="B23" s="14" t="s">
        <v>42</v>
      </c>
      <c r="C23" s="15">
        <v>135000.0</v>
      </c>
      <c r="D23" s="14">
        <v>12500.0</v>
      </c>
      <c r="E23" s="19">
        <f t="shared" si="1"/>
        <v>10.8</v>
      </c>
      <c r="F23" s="10"/>
      <c r="G23" s="14" t="str">
        <f t="shared" si="2"/>
        <v>almidon</v>
      </c>
      <c r="H23" s="12"/>
      <c r="I23" s="14">
        <f t="shared" si="3"/>
        <v>0</v>
      </c>
      <c r="J23" s="29" t="s">
        <v>43</v>
      </c>
      <c r="K23" s="23"/>
      <c r="L23" s="25">
        <f>SUM(I5:I31)</f>
        <v>230961.5833</v>
      </c>
      <c r="N23" s="30"/>
      <c r="P23" s="16"/>
      <c r="Q23" s="16"/>
      <c r="R23" s="16"/>
      <c r="S23" s="16"/>
      <c r="T23" s="17" t="str">
        <f t="shared" si="4"/>
        <v>almidon</v>
      </c>
      <c r="U23" s="16"/>
      <c r="V23" s="12"/>
      <c r="W23" s="12"/>
      <c r="X23" s="12"/>
      <c r="Y23" s="12">
        <v>2000.0</v>
      </c>
      <c r="Z23" s="12">
        <v>2100.0</v>
      </c>
      <c r="AA23" s="12">
        <v>3000.0</v>
      </c>
      <c r="AB23" s="12">
        <v>1200.0</v>
      </c>
      <c r="AC23" s="12"/>
      <c r="AD23" s="12"/>
      <c r="AE23" s="12"/>
      <c r="AF23" s="12"/>
      <c r="AG23" s="12"/>
      <c r="AH23" s="12"/>
      <c r="AI23" s="12"/>
      <c r="AJ23" s="12"/>
      <c r="AK23" s="12">
        <v>3000.0</v>
      </c>
    </row>
    <row r="24" ht="15.75" customHeight="1">
      <c r="B24" s="14" t="s">
        <v>44</v>
      </c>
      <c r="C24" s="15">
        <v>198000.0</v>
      </c>
      <c r="D24" s="14">
        <v>20000.0</v>
      </c>
      <c r="E24" s="19">
        <f t="shared" si="1"/>
        <v>9.9</v>
      </c>
      <c r="F24" s="10"/>
      <c r="G24" s="14" t="str">
        <f t="shared" si="2"/>
        <v>aceite</v>
      </c>
      <c r="H24" s="12"/>
      <c r="I24" s="14">
        <f t="shared" si="3"/>
        <v>0</v>
      </c>
      <c r="J24" s="29" t="s">
        <v>45</v>
      </c>
      <c r="K24" s="23"/>
      <c r="L24" s="31">
        <v>4500.0</v>
      </c>
      <c r="P24" s="16"/>
      <c r="Q24" s="16"/>
      <c r="R24" s="16"/>
      <c r="S24" s="16"/>
      <c r="T24" s="17" t="str">
        <f t="shared" si="4"/>
        <v>aceite</v>
      </c>
      <c r="U24" s="16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ht="15.75" customHeight="1">
      <c r="B25" s="14" t="s">
        <v>46</v>
      </c>
      <c r="C25" s="18">
        <f>107000/12</f>
        <v>8916.666667</v>
      </c>
      <c r="D25" s="21">
        <v>1000.0</v>
      </c>
      <c r="E25" s="19">
        <f t="shared" si="1"/>
        <v>8.916666667</v>
      </c>
      <c r="F25" s="10"/>
      <c r="G25" s="14" t="str">
        <f t="shared" si="2"/>
        <v>uvas pasa</v>
      </c>
      <c r="H25" s="12"/>
      <c r="I25" s="14">
        <f t="shared" si="3"/>
        <v>0</v>
      </c>
      <c r="J25" s="22" t="s">
        <v>47</v>
      </c>
      <c r="K25" s="23"/>
      <c r="L25" s="32">
        <v>2000.0</v>
      </c>
      <c r="P25" s="16"/>
      <c r="Q25" s="16"/>
      <c r="R25" s="16"/>
      <c r="S25" s="16"/>
      <c r="T25" s="17" t="str">
        <f t="shared" si="4"/>
        <v>uvas pasa</v>
      </c>
      <c r="U25" s="16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ht="15.75" customHeight="1">
      <c r="B26" s="14" t="s">
        <v>48</v>
      </c>
      <c r="C26" s="15">
        <v>24800.0</v>
      </c>
      <c r="D26" s="14">
        <v>2500.0</v>
      </c>
      <c r="E26" s="19">
        <f t="shared" si="1"/>
        <v>9.92</v>
      </c>
      <c r="F26" s="10"/>
      <c r="G26" s="14" t="str">
        <f t="shared" si="2"/>
        <v>frurta crista</v>
      </c>
      <c r="H26" s="12"/>
      <c r="I26" s="14">
        <f t="shared" si="3"/>
        <v>0</v>
      </c>
      <c r="J26" s="22" t="s">
        <v>49</v>
      </c>
      <c r="K26" s="23"/>
      <c r="L26" s="32">
        <v>4000.0</v>
      </c>
      <c r="P26" s="16"/>
      <c r="Q26" s="16"/>
      <c r="R26" s="16"/>
      <c r="S26" s="16"/>
      <c r="T26" s="17" t="str">
        <f t="shared" si="4"/>
        <v>frurta crista</v>
      </c>
      <c r="U26" s="16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ht="15.75" customHeight="1">
      <c r="B27" s="14" t="s">
        <v>50</v>
      </c>
      <c r="C27" s="18">
        <v>12400.0</v>
      </c>
      <c r="D27" s="14">
        <v>500.0</v>
      </c>
      <c r="E27" s="19">
        <f t="shared" si="1"/>
        <v>24.8</v>
      </c>
      <c r="F27" s="10"/>
      <c r="G27" s="14" t="str">
        <f t="shared" si="2"/>
        <v>nuez brasil</v>
      </c>
      <c r="H27" s="12"/>
      <c r="I27" s="14">
        <f t="shared" si="3"/>
        <v>0</v>
      </c>
      <c r="J27" s="22" t="s">
        <v>51</v>
      </c>
      <c r="K27" s="23"/>
      <c r="L27" s="32"/>
      <c r="P27" s="16"/>
      <c r="Q27" s="16"/>
      <c r="R27" s="16"/>
      <c r="S27" s="16"/>
      <c r="T27" s="17" t="str">
        <f t="shared" si="4"/>
        <v>nuez brasil</v>
      </c>
      <c r="U27" s="16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ht="15.75" customHeight="1">
      <c r="B28" s="14" t="s">
        <v>52</v>
      </c>
      <c r="C28" s="15">
        <v>24500.0</v>
      </c>
      <c r="D28" s="14">
        <v>2500.0</v>
      </c>
      <c r="E28" s="19">
        <f t="shared" si="1"/>
        <v>9.8</v>
      </c>
      <c r="F28" s="10"/>
      <c r="G28" s="14" t="str">
        <f t="shared" si="2"/>
        <v>coco dulce</v>
      </c>
      <c r="H28" s="12"/>
      <c r="I28" s="14">
        <f t="shared" si="3"/>
        <v>0</v>
      </c>
      <c r="J28" s="22" t="s">
        <v>53</v>
      </c>
      <c r="K28" s="23"/>
      <c r="L28" s="32">
        <f>L22-L23-L24-L25-L26-L27-L26</f>
        <v>-20135.49638</v>
      </c>
      <c r="P28" s="16"/>
      <c r="Q28" s="16"/>
      <c r="R28" s="16"/>
      <c r="S28" s="16"/>
      <c r="T28" s="17" t="str">
        <f t="shared" si="4"/>
        <v>coco dulce</v>
      </c>
      <c r="U28" s="16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ht="15.75" customHeight="1">
      <c r="B29" s="14" t="s">
        <v>54</v>
      </c>
      <c r="C29" s="15">
        <v>17400.0</v>
      </c>
      <c r="D29" s="14">
        <v>1000.0</v>
      </c>
      <c r="E29" s="19">
        <f t="shared" si="1"/>
        <v>17.4</v>
      </c>
      <c r="F29" s="10"/>
      <c r="G29" s="14" t="str">
        <f t="shared" si="2"/>
        <v>coco simple </v>
      </c>
      <c r="H29" s="12"/>
      <c r="I29" s="14">
        <f t="shared" si="3"/>
        <v>0</v>
      </c>
      <c r="L29" s="33"/>
      <c r="P29" s="16"/>
      <c r="Q29" s="16"/>
      <c r="R29" s="16"/>
      <c r="S29" s="16"/>
      <c r="T29" s="17" t="str">
        <f t="shared" si="4"/>
        <v>coco simple </v>
      </c>
      <c r="U29" s="16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ht="15.75" customHeight="1">
      <c r="B30" s="14" t="s">
        <v>55</v>
      </c>
      <c r="C30" s="15">
        <v>6500.0</v>
      </c>
      <c r="D30" s="21">
        <v>1000.0</v>
      </c>
      <c r="E30" s="19">
        <f t="shared" si="1"/>
        <v>6.5</v>
      </c>
      <c r="F30" s="10"/>
      <c r="G30" s="14" t="str">
        <f t="shared" si="2"/>
        <v>scernido</v>
      </c>
      <c r="H30" s="12"/>
      <c r="I30" s="14">
        <f t="shared" si="3"/>
        <v>0</v>
      </c>
      <c r="P30" s="16"/>
      <c r="Q30" s="16"/>
      <c r="R30" s="16">
        <v>400.0</v>
      </c>
      <c r="S30" s="16"/>
      <c r="T30" s="17" t="str">
        <f t="shared" si="4"/>
        <v>scernido</v>
      </c>
      <c r="U30" s="16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ht="15.75" customHeight="1">
      <c r="B31" s="14" t="s">
        <v>56</v>
      </c>
      <c r="C31" s="18">
        <v>5000.0</v>
      </c>
      <c r="D31" s="14">
        <v>1000.0</v>
      </c>
      <c r="E31" s="19">
        <f t="shared" si="1"/>
        <v>5</v>
      </c>
      <c r="F31" s="10"/>
      <c r="G31" s="14" t="str">
        <f t="shared" si="2"/>
        <v>otros</v>
      </c>
      <c r="H31" s="12"/>
      <c r="I31" s="14">
        <f t="shared" si="3"/>
        <v>0</v>
      </c>
      <c r="K31" s="28" t="s">
        <v>57</v>
      </c>
      <c r="P31" s="16">
        <v>40.0</v>
      </c>
      <c r="Q31" s="16">
        <v>20.0</v>
      </c>
      <c r="R31" s="16">
        <v>20.0</v>
      </c>
      <c r="S31" s="16">
        <v>20.0</v>
      </c>
      <c r="T31" s="17" t="str">
        <f t="shared" si="4"/>
        <v>otros</v>
      </c>
      <c r="U31" s="16"/>
      <c r="V31" s="12">
        <v>20.0</v>
      </c>
      <c r="W31" s="12">
        <v>20.0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ht="15.75" customHeight="1">
      <c r="B32" s="14" t="s">
        <v>58</v>
      </c>
      <c r="C32" s="18">
        <v>1.0</v>
      </c>
      <c r="D32" s="14">
        <v>1000.0</v>
      </c>
      <c r="E32" s="19">
        <f t="shared" si="1"/>
        <v>0.001</v>
      </c>
      <c r="F32" s="10"/>
      <c r="G32" s="14" t="str">
        <f t="shared" si="2"/>
        <v>agua</v>
      </c>
      <c r="H32" s="12">
        <v>900.0</v>
      </c>
      <c r="I32" s="14">
        <f t="shared" si="3"/>
        <v>0.9</v>
      </c>
      <c r="P32" s="16">
        <v>4000.0</v>
      </c>
      <c r="Q32" s="16">
        <v>2000.0</v>
      </c>
      <c r="R32" s="16">
        <v>1000.0</v>
      </c>
      <c r="S32" s="16">
        <v>1500.0</v>
      </c>
      <c r="T32" s="17" t="str">
        <f t="shared" si="4"/>
        <v>agua</v>
      </c>
      <c r="U32" s="16">
        <v>1500.0</v>
      </c>
      <c r="V32" s="12">
        <v>1000.0</v>
      </c>
      <c r="W32" s="12">
        <v>1000.0</v>
      </c>
      <c r="X32" s="12">
        <v>1000.0</v>
      </c>
      <c r="Y32" s="12">
        <v>2800.0</v>
      </c>
      <c r="Z32" s="12">
        <v>2800.0</v>
      </c>
      <c r="AA32" s="12">
        <v>1000.0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ht="15.75" customHeight="1">
      <c r="B33" s="14" t="s">
        <v>59</v>
      </c>
      <c r="C33" s="18">
        <v>79600.0</v>
      </c>
      <c r="D33" s="14">
        <v>12500.0</v>
      </c>
      <c r="E33" s="19">
        <f t="shared" si="1"/>
        <v>6.368</v>
      </c>
      <c r="F33" s="10"/>
      <c r="G33" s="14" t="str">
        <f t="shared" si="2"/>
        <v>EPANDEX</v>
      </c>
      <c r="H33" s="12"/>
      <c r="I33" s="14">
        <f t="shared" si="3"/>
        <v>0</v>
      </c>
      <c r="P33" s="16">
        <v>0.0</v>
      </c>
      <c r="Q33" s="16">
        <v>0.0</v>
      </c>
      <c r="R33" s="16">
        <v>0.0</v>
      </c>
      <c r="S33" s="16">
        <v>0.0</v>
      </c>
      <c r="T33" s="17" t="str">
        <f t="shared" si="4"/>
        <v>EPANDEX</v>
      </c>
      <c r="U33" s="16">
        <v>0.0</v>
      </c>
      <c r="V33" s="12">
        <v>0.0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ht="15.75" customHeight="1">
      <c r="C34" s="34"/>
      <c r="F34" s="10"/>
      <c r="G34" s="10"/>
      <c r="H34" s="35"/>
      <c r="I34" s="10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ht="15.75" customHeight="1">
      <c r="C35" s="34"/>
      <c r="H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ht="15.75" customHeight="1">
      <c r="B36" s="14" t="s">
        <v>60</v>
      </c>
      <c r="C36" s="18">
        <v>13400.0</v>
      </c>
      <c r="D36" s="14">
        <v>1000.0</v>
      </c>
      <c r="E36" s="19">
        <f t="shared" ref="E36:E41" si="5">C36/D36</f>
        <v>13.4</v>
      </c>
      <c r="F36" s="10"/>
      <c r="G36" s="14" t="str">
        <f t="shared" ref="G36:G41" si="6">B36</f>
        <v>queso relleno</v>
      </c>
      <c r="H36" s="12"/>
      <c r="I36" s="14">
        <f t="shared" ref="I36:I41" si="7">H36*E36</f>
        <v>0</v>
      </c>
      <c r="P36" s="16">
        <v>4000.0</v>
      </c>
      <c r="Q36" s="16"/>
      <c r="R36" s="16"/>
      <c r="S36" s="16"/>
      <c r="T36" s="17" t="str">
        <f t="shared" ref="T36:T41" si="8">B36</f>
        <v>queso relleno</v>
      </c>
      <c r="U36" s="16">
        <v>750.0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ht="15.75" customHeight="1">
      <c r="B37" s="14" t="s">
        <v>61</v>
      </c>
      <c r="C37" s="18">
        <f>C14</f>
        <v>172000</v>
      </c>
      <c r="D37" s="21">
        <v>20000.0</v>
      </c>
      <c r="E37" s="19">
        <f t="shared" si="5"/>
        <v>8.6</v>
      </c>
      <c r="F37" s="10"/>
      <c r="G37" s="14" t="str">
        <f t="shared" si="6"/>
        <v>arequipe</v>
      </c>
      <c r="H37" s="12"/>
      <c r="I37" s="14">
        <f t="shared" si="7"/>
        <v>0</v>
      </c>
      <c r="P37" s="16">
        <v>4000.0</v>
      </c>
      <c r="Q37" s="16">
        <v>180.0</v>
      </c>
      <c r="R37" s="16"/>
      <c r="S37" s="16"/>
      <c r="T37" s="17" t="str">
        <f t="shared" si="8"/>
        <v>arequipe</v>
      </c>
      <c r="U37" s="16"/>
      <c r="V37" s="12">
        <v>970.0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ht="15.75" customHeight="1">
      <c r="B38" s="14" t="s">
        <v>62</v>
      </c>
      <c r="C38" s="18">
        <v>16.0</v>
      </c>
      <c r="D38" s="14">
        <v>1.0</v>
      </c>
      <c r="E38" s="19">
        <f t="shared" si="5"/>
        <v>16</v>
      </c>
      <c r="F38" s="10"/>
      <c r="G38" s="14" t="str">
        <f t="shared" si="6"/>
        <v>decorado</v>
      </c>
      <c r="H38" s="12"/>
      <c r="I38" s="14">
        <f t="shared" si="7"/>
        <v>0</v>
      </c>
      <c r="P38" s="16">
        <v>4000.0</v>
      </c>
      <c r="Q38" s="16"/>
      <c r="R38" s="16"/>
      <c r="S38" s="16"/>
      <c r="T38" s="17" t="str">
        <f t="shared" si="8"/>
        <v>decorado</v>
      </c>
      <c r="U38" s="16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ht="15.75" customHeight="1">
      <c r="B39" s="14" t="s">
        <v>63</v>
      </c>
      <c r="C39" s="18">
        <f>C25</f>
        <v>8916.666667</v>
      </c>
      <c r="D39" s="14">
        <v>1000.0</v>
      </c>
      <c r="E39" s="19">
        <f t="shared" si="5"/>
        <v>8.916666667</v>
      </c>
      <c r="F39" s="10"/>
      <c r="G39" s="14" t="str">
        <f t="shared" si="6"/>
        <v>pasas</v>
      </c>
      <c r="H39" s="12"/>
      <c r="I39" s="14">
        <f t="shared" si="7"/>
        <v>0</v>
      </c>
      <c r="P39" s="16">
        <v>4000.0</v>
      </c>
      <c r="Q39" s="16"/>
      <c r="R39" s="16"/>
      <c r="S39" s="16"/>
      <c r="T39" s="17" t="str">
        <f t="shared" si="8"/>
        <v>pasas</v>
      </c>
      <c r="U39" s="16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ht="15.75" customHeight="1">
      <c r="B40" s="14" t="s">
        <v>64</v>
      </c>
      <c r="C40" s="18">
        <f>C29</f>
        <v>17400</v>
      </c>
      <c r="D40" s="21">
        <v>1000.0</v>
      </c>
      <c r="E40" s="19">
        <f t="shared" si="5"/>
        <v>17.4</v>
      </c>
      <c r="F40" s="10"/>
      <c r="G40" s="14" t="str">
        <f t="shared" si="6"/>
        <v>coco</v>
      </c>
      <c r="H40" s="12"/>
      <c r="I40" s="14">
        <f t="shared" si="7"/>
        <v>0</v>
      </c>
      <c r="P40" s="16">
        <v>4000.0</v>
      </c>
      <c r="Q40" s="16"/>
      <c r="R40" s="16">
        <v>200.0</v>
      </c>
      <c r="S40" s="16"/>
      <c r="T40" s="17" t="str">
        <f t="shared" si="8"/>
        <v>coco</v>
      </c>
      <c r="U40" s="16"/>
      <c r="V40" s="12"/>
      <c r="W40" s="12">
        <v>200.0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ht="15.75" customHeight="1">
      <c r="B41" s="14" t="s">
        <v>65</v>
      </c>
      <c r="C41" s="15">
        <v>6000.0</v>
      </c>
      <c r="D41" s="14">
        <v>500.0</v>
      </c>
      <c r="E41" s="19">
        <f t="shared" si="5"/>
        <v>12</v>
      </c>
      <c r="F41" s="10"/>
      <c r="G41" s="14" t="str">
        <f t="shared" si="6"/>
        <v>jamon</v>
      </c>
      <c r="H41" s="12"/>
      <c r="I41" s="14">
        <f t="shared" si="7"/>
        <v>0</v>
      </c>
      <c r="P41" s="16">
        <v>4000.0</v>
      </c>
      <c r="Q41" s="16"/>
      <c r="R41" s="16"/>
      <c r="S41" s="16"/>
      <c r="T41" s="17" t="str">
        <f t="shared" si="8"/>
        <v>jamon</v>
      </c>
      <c r="U41" s="16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ht="15.75" customHeight="1">
      <c r="B42" s="14" t="s">
        <v>66</v>
      </c>
      <c r="C42" s="18"/>
      <c r="D42" s="14"/>
      <c r="E42" s="19"/>
      <c r="F42" s="10"/>
      <c r="G42" s="14"/>
      <c r="H42" s="12"/>
      <c r="I42" s="14">
        <f>SUM(I36:I41)</f>
        <v>0</v>
      </c>
      <c r="P42" s="16"/>
      <c r="Q42" s="16"/>
      <c r="R42" s="16"/>
      <c r="S42" s="16"/>
      <c r="T42" s="17"/>
      <c r="U42" s="16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ht="15.75" customHeight="1">
      <c r="P43" s="36"/>
      <c r="Q43" s="36"/>
      <c r="R43" s="36"/>
      <c r="S43" s="36"/>
      <c r="T43" s="36"/>
      <c r="U43" s="36"/>
      <c r="V43" s="36"/>
      <c r="W43" s="36"/>
    </row>
    <row r="44" ht="15.75" customHeight="1">
      <c r="B44" s="14" t="s">
        <v>67</v>
      </c>
      <c r="C44" s="15">
        <v>64000.0</v>
      </c>
      <c r="D44" s="21">
        <v>4000.0</v>
      </c>
      <c r="E44" s="19">
        <f t="shared" ref="E44:E53" si="9">C44/D44</f>
        <v>16</v>
      </c>
      <c r="F44" s="10"/>
      <c r="G44" s="14" t="str">
        <f t="shared" ref="G44:G49" si="10">B44</f>
        <v>CREMA PARA FRIA </v>
      </c>
      <c r="H44" s="12"/>
      <c r="I44" s="14">
        <f t="shared" ref="I44:I49" si="11">H44*E44</f>
        <v>0</v>
      </c>
      <c r="P44" s="36"/>
      <c r="Q44" s="36"/>
      <c r="R44" s="36"/>
      <c r="S44" s="36"/>
      <c r="T44" s="36"/>
      <c r="U44" s="36"/>
      <c r="V44" s="36"/>
      <c r="W44" s="36"/>
    </row>
    <row r="45" ht="15.75" customHeight="1">
      <c r="B45" s="14" t="s">
        <v>68</v>
      </c>
      <c r="C45" s="15">
        <v>16000.0</v>
      </c>
      <c r="D45" s="14">
        <v>1000.0</v>
      </c>
      <c r="E45" s="19">
        <f t="shared" si="9"/>
        <v>16</v>
      </c>
      <c r="F45" s="10"/>
      <c r="G45" s="14" t="str">
        <f t="shared" si="10"/>
        <v>CREMA DE LECHE </v>
      </c>
      <c r="H45" s="12"/>
      <c r="I45" s="14">
        <f t="shared" si="11"/>
        <v>0</v>
      </c>
      <c r="P45" s="36"/>
      <c r="Q45" s="36"/>
      <c r="R45" s="36"/>
      <c r="S45" s="36"/>
      <c r="T45" s="36"/>
      <c r="U45" s="36"/>
      <c r="V45" s="36"/>
      <c r="W45" s="36"/>
    </row>
    <row r="46" ht="15.75" customHeight="1">
      <c r="B46" s="14" t="s">
        <v>69</v>
      </c>
      <c r="C46" s="15">
        <v>45500.0</v>
      </c>
      <c r="D46" s="21">
        <v>5000.0</v>
      </c>
      <c r="E46" s="19">
        <f t="shared" si="9"/>
        <v>9.1</v>
      </c>
      <c r="F46" s="10"/>
      <c r="G46" s="14" t="str">
        <f t="shared" si="10"/>
        <v>LECHE CONDENSADA</v>
      </c>
      <c r="H46" s="12"/>
      <c r="I46" s="14">
        <f t="shared" si="11"/>
        <v>0</v>
      </c>
      <c r="P46" s="36"/>
      <c r="Q46" s="36"/>
      <c r="R46" s="36"/>
      <c r="S46" s="36"/>
      <c r="T46" s="36"/>
      <c r="U46" s="36"/>
      <c r="V46" s="36"/>
      <c r="W46" s="36"/>
    </row>
    <row r="47" ht="15.75" customHeight="1">
      <c r="B47" s="14" t="s">
        <v>70</v>
      </c>
      <c r="C47" s="18">
        <v>22000.0</v>
      </c>
      <c r="D47" s="14">
        <v>375.0</v>
      </c>
      <c r="E47" s="19">
        <f t="shared" si="9"/>
        <v>58.66666667</v>
      </c>
      <c r="F47" s="10"/>
      <c r="G47" s="14" t="str">
        <f t="shared" si="10"/>
        <v>BRANDY</v>
      </c>
      <c r="H47" s="12"/>
      <c r="I47" s="14">
        <f t="shared" si="11"/>
        <v>0</v>
      </c>
      <c r="P47" s="36"/>
      <c r="Q47" s="36"/>
      <c r="R47" s="36"/>
      <c r="S47" s="36"/>
      <c r="T47" s="36"/>
      <c r="U47" s="36"/>
      <c r="V47" s="36"/>
      <c r="W47" s="36"/>
    </row>
    <row r="48" ht="15.75" customHeight="1">
      <c r="B48" s="21" t="s">
        <v>71</v>
      </c>
      <c r="C48" s="15">
        <v>121000.0</v>
      </c>
      <c r="D48" s="21">
        <v>12500.0</v>
      </c>
      <c r="E48" s="19">
        <f t="shared" si="9"/>
        <v>9.68</v>
      </c>
      <c r="F48" s="10"/>
      <c r="G48" s="14" t="str">
        <f t="shared" si="10"/>
        <v>premescla</v>
      </c>
      <c r="H48" s="12"/>
      <c r="I48" s="14">
        <f t="shared" si="11"/>
        <v>0</v>
      </c>
      <c r="P48" s="36"/>
      <c r="Q48" s="36"/>
      <c r="R48" s="36"/>
      <c r="S48" s="36"/>
      <c r="T48" s="36"/>
      <c r="U48" s="36"/>
      <c r="V48" s="36"/>
      <c r="W48" s="36"/>
    </row>
    <row r="49" ht="15.75" customHeight="1">
      <c r="B49" s="14" t="s">
        <v>44</v>
      </c>
      <c r="C49" s="18">
        <f>C24</f>
        <v>198000</v>
      </c>
      <c r="D49" s="14">
        <v>20000.0</v>
      </c>
      <c r="E49" s="19">
        <f t="shared" si="9"/>
        <v>9.9</v>
      </c>
      <c r="F49" s="10"/>
      <c r="G49" s="14" t="str">
        <f t="shared" si="10"/>
        <v>aceite</v>
      </c>
      <c r="H49" s="12"/>
      <c r="I49" s="14">
        <f t="shared" si="11"/>
        <v>0</v>
      </c>
      <c r="P49" s="36"/>
      <c r="Q49" s="36"/>
      <c r="R49" s="36"/>
      <c r="S49" s="36"/>
      <c r="T49" s="36"/>
      <c r="U49" s="36"/>
      <c r="V49" s="36"/>
      <c r="W49" s="36"/>
    </row>
    <row r="50" ht="15.75" customHeight="1">
      <c r="B50" s="14" t="s">
        <v>72</v>
      </c>
      <c r="C50" s="18">
        <v>23500.0</v>
      </c>
      <c r="D50" s="14">
        <v>4000.0</v>
      </c>
      <c r="E50" s="19">
        <f t="shared" si="9"/>
        <v>5.875</v>
      </c>
      <c r="F50" s="10"/>
      <c r="G50" s="14"/>
      <c r="H50" s="12"/>
      <c r="I50" s="14">
        <f>SUM(I44:I49)</f>
        <v>0</v>
      </c>
      <c r="P50" s="36"/>
      <c r="Q50" s="36"/>
      <c r="R50" s="36"/>
      <c r="S50" s="36"/>
      <c r="T50" s="36"/>
      <c r="U50" s="36"/>
      <c r="V50" s="36"/>
      <c r="W50" s="36"/>
    </row>
    <row r="51" ht="15.75" customHeight="1">
      <c r="B51" s="14" t="s">
        <v>73</v>
      </c>
      <c r="C51" s="15">
        <v>15000.0</v>
      </c>
      <c r="D51" s="14">
        <v>1000.0</v>
      </c>
      <c r="E51" s="19">
        <f t="shared" si="9"/>
        <v>15</v>
      </c>
      <c r="P51" s="36"/>
      <c r="Q51" s="36"/>
      <c r="R51" s="36"/>
      <c r="S51" s="36"/>
      <c r="T51" s="36"/>
      <c r="U51" s="36"/>
      <c r="V51" s="36"/>
      <c r="W51" s="36"/>
    </row>
    <row r="52" ht="15.75" customHeight="1">
      <c r="B52" s="14"/>
      <c r="C52" s="15"/>
      <c r="D52" s="14"/>
      <c r="E52" s="19" t="str">
        <f t="shared" si="9"/>
        <v>#DIV/0!</v>
      </c>
      <c r="P52" s="36"/>
      <c r="Q52" s="36"/>
      <c r="R52" s="36"/>
      <c r="S52" s="36"/>
      <c r="T52" s="36"/>
      <c r="U52" s="36"/>
      <c r="V52" s="36"/>
      <c r="W52" s="36"/>
    </row>
    <row r="53" ht="15.75" customHeight="1">
      <c r="B53" s="14"/>
      <c r="C53" s="15"/>
      <c r="D53" s="14"/>
      <c r="E53" s="19" t="str">
        <f t="shared" si="9"/>
        <v>#DIV/0!</v>
      </c>
      <c r="P53" s="36"/>
      <c r="Q53" s="36"/>
      <c r="R53" s="36"/>
      <c r="S53" s="36"/>
      <c r="T53" s="36"/>
      <c r="U53" s="36"/>
      <c r="V53" s="36"/>
      <c r="W53" s="36"/>
    </row>
    <row r="54" ht="15.75" customHeight="1">
      <c r="P54" s="36"/>
      <c r="Q54" s="36"/>
      <c r="R54" s="36"/>
      <c r="S54" s="36"/>
      <c r="T54" s="36"/>
      <c r="U54" s="36"/>
      <c r="V54" s="36"/>
      <c r="W54" s="36"/>
    </row>
    <row r="55" ht="15.75" customHeight="1">
      <c r="P55" s="36"/>
      <c r="Q55" s="36"/>
      <c r="R55" s="36"/>
      <c r="S55" s="36"/>
      <c r="T55" s="36"/>
      <c r="U55" s="36"/>
      <c r="V55" s="36"/>
      <c r="W55" s="36"/>
    </row>
    <row r="56" ht="15.75" customHeight="1">
      <c r="P56" s="36"/>
      <c r="Q56" s="36"/>
      <c r="R56" s="36"/>
      <c r="S56" s="36"/>
      <c r="T56" s="36"/>
      <c r="U56" s="36"/>
      <c r="V56" s="36"/>
      <c r="W56" s="36"/>
    </row>
    <row r="57" ht="15.75" customHeight="1">
      <c r="P57" s="36"/>
      <c r="Q57" s="36"/>
      <c r="R57" s="36"/>
      <c r="S57" s="36"/>
      <c r="T57" s="36"/>
      <c r="U57" s="36"/>
      <c r="V57" s="36"/>
      <c r="W57" s="36"/>
    </row>
    <row r="58" ht="15.75" customHeight="1">
      <c r="P58" s="36"/>
      <c r="Q58" s="36"/>
      <c r="R58" s="36"/>
      <c r="S58" s="36"/>
      <c r="T58" s="36"/>
      <c r="U58" s="36"/>
      <c r="V58" s="36"/>
      <c r="W58" s="36"/>
    </row>
    <row r="59" ht="15.75" customHeight="1">
      <c r="P59" s="36"/>
      <c r="Q59" s="36"/>
      <c r="R59" s="36"/>
      <c r="S59" s="36"/>
      <c r="T59" s="36"/>
      <c r="U59" s="36"/>
      <c r="V59" s="36"/>
      <c r="W59" s="36"/>
    </row>
    <row r="60" ht="15.75" customHeight="1">
      <c r="P60" s="36"/>
      <c r="Q60" s="36"/>
      <c r="R60" s="36"/>
      <c r="S60" s="36"/>
      <c r="T60" s="36"/>
      <c r="U60" s="36"/>
      <c r="V60" s="36"/>
      <c r="W60" s="36"/>
    </row>
    <row r="61" ht="15.75" customHeight="1">
      <c r="P61" s="36"/>
      <c r="Q61" s="36"/>
      <c r="R61" s="36"/>
      <c r="S61" s="36"/>
      <c r="T61" s="36"/>
      <c r="U61" s="36"/>
      <c r="V61" s="36"/>
      <c r="W61" s="36"/>
    </row>
    <row r="62" ht="15.75" customHeight="1">
      <c r="P62" s="36"/>
      <c r="Q62" s="36"/>
      <c r="R62" s="36"/>
      <c r="S62" s="36"/>
      <c r="T62" s="36"/>
      <c r="U62" s="36"/>
      <c r="V62" s="36"/>
      <c r="W62" s="36"/>
    </row>
    <row r="63" ht="15.75" customHeight="1">
      <c r="P63" s="36"/>
      <c r="Q63" s="36"/>
      <c r="R63" s="36"/>
      <c r="S63" s="36"/>
      <c r="T63" s="36"/>
      <c r="U63" s="36"/>
      <c r="V63" s="36"/>
      <c r="W63" s="36"/>
    </row>
    <row r="64" ht="15.75" customHeight="1">
      <c r="P64" s="36"/>
      <c r="Q64" s="36"/>
      <c r="R64" s="36"/>
      <c r="S64" s="36"/>
      <c r="T64" s="36"/>
      <c r="U64" s="36"/>
      <c r="V64" s="36"/>
      <c r="W64" s="36"/>
    </row>
    <row r="65" ht="15.75" customHeight="1">
      <c r="P65" s="36"/>
      <c r="Q65" s="36"/>
      <c r="R65" s="36"/>
      <c r="S65" s="36"/>
      <c r="T65" s="36"/>
      <c r="U65" s="36"/>
      <c r="V65" s="36"/>
      <c r="W65" s="36"/>
    </row>
    <row r="66" ht="15.75" customHeight="1">
      <c r="P66" s="36"/>
      <c r="Q66" s="36"/>
      <c r="R66" s="36"/>
      <c r="S66" s="36"/>
      <c r="T66" s="36"/>
      <c r="U66" s="36"/>
      <c r="V66" s="36"/>
      <c r="W66" s="36"/>
    </row>
    <row r="67" ht="15.75" customHeight="1">
      <c r="P67" s="36"/>
      <c r="Q67" s="36"/>
      <c r="R67" s="36"/>
      <c r="S67" s="36"/>
      <c r="T67" s="36"/>
      <c r="U67" s="36"/>
      <c r="V67" s="36"/>
      <c r="W67" s="36"/>
    </row>
    <row r="68" ht="15.75" customHeight="1">
      <c r="P68" s="36"/>
      <c r="Q68" s="36"/>
      <c r="R68" s="36"/>
      <c r="S68" s="36"/>
      <c r="T68" s="36"/>
      <c r="U68" s="36"/>
      <c r="V68" s="36"/>
      <c r="W68" s="36"/>
    </row>
    <row r="69" ht="15.75" customHeight="1">
      <c r="P69" s="36"/>
      <c r="Q69" s="36"/>
      <c r="R69" s="36"/>
      <c r="S69" s="36"/>
      <c r="T69" s="36"/>
      <c r="U69" s="36"/>
      <c r="V69" s="36"/>
      <c r="W69" s="36"/>
    </row>
    <row r="70" ht="15.75" customHeight="1">
      <c r="P70" s="36"/>
      <c r="Q70" s="36"/>
      <c r="R70" s="36"/>
      <c r="S70" s="36"/>
      <c r="T70" s="36"/>
      <c r="U70" s="36"/>
      <c r="V70" s="36"/>
      <c r="W70" s="36"/>
    </row>
    <row r="71" ht="15.75" customHeight="1">
      <c r="P71" s="36"/>
      <c r="Q71" s="36"/>
      <c r="R71" s="36"/>
      <c r="S71" s="36"/>
      <c r="T71" s="36"/>
      <c r="U71" s="36"/>
      <c r="V71" s="36"/>
      <c r="W71" s="36"/>
    </row>
    <row r="72" ht="15.75" customHeight="1">
      <c r="P72" s="36"/>
      <c r="Q72" s="36"/>
      <c r="R72" s="36"/>
      <c r="S72" s="36"/>
      <c r="T72" s="36"/>
      <c r="U72" s="36"/>
      <c r="V72" s="36"/>
      <c r="W72" s="36"/>
    </row>
    <row r="73" ht="15.75" customHeight="1">
      <c r="P73" s="36"/>
      <c r="Q73" s="36"/>
      <c r="R73" s="36"/>
      <c r="S73" s="36"/>
      <c r="T73" s="36"/>
      <c r="U73" s="36"/>
      <c r="V73" s="36"/>
      <c r="W73" s="36"/>
    </row>
    <row r="74" ht="15.75" customHeight="1">
      <c r="P74" s="36"/>
      <c r="Q74" s="36"/>
      <c r="R74" s="36"/>
      <c r="S74" s="36"/>
      <c r="T74" s="36"/>
      <c r="U74" s="36"/>
      <c r="V74" s="36"/>
      <c r="W74" s="36"/>
    </row>
    <row r="75" ht="15.75" customHeight="1">
      <c r="P75" s="36"/>
      <c r="Q75" s="36"/>
      <c r="R75" s="36"/>
      <c r="S75" s="36"/>
      <c r="T75" s="36"/>
      <c r="U75" s="36"/>
      <c r="V75" s="36"/>
      <c r="W75" s="36"/>
    </row>
    <row r="76" ht="15.75" customHeight="1">
      <c r="P76" s="36"/>
      <c r="Q76" s="36"/>
      <c r="R76" s="36"/>
      <c r="S76" s="36"/>
      <c r="T76" s="36"/>
      <c r="U76" s="36"/>
      <c r="V76" s="36"/>
      <c r="W76" s="36"/>
    </row>
    <row r="77" ht="15.75" customHeight="1">
      <c r="P77" s="36"/>
      <c r="Q77" s="36"/>
      <c r="R77" s="36"/>
      <c r="S77" s="36"/>
      <c r="T77" s="36"/>
      <c r="U77" s="36"/>
      <c r="V77" s="36"/>
      <c r="W77" s="36"/>
    </row>
    <row r="78" ht="15.75" customHeight="1">
      <c r="P78" s="36"/>
      <c r="Q78" s="36"/>
      <c r="R78" s="36"/>
      <c r="S78" s="36"/>
      <c r="T78" s="36"/>
      <c r="U78" s="36"/>
      <c r="V78" s="36"/>
      <c r="W78" s="36"/>
    </row>
    <row r="79" ht="15.75" customHeight="1">
      <c r="P79" s="36"/>
      <c r="Q79" s="36"/>
      <c r="R79" s="36"/>
      <c r="S79" s="36"/>
      <c r="T79" s="36"/>
      <c r="U79" s="36"/>
      <c r="V79" s="36"/>
      <c r="W79" s="36"/>
    </row>
    <row r="80" ht="15.75" customHeight="1">
      <c r="P80" s="36"/>
      <c r="Q80" s="36"/>
      <c r="R80" s="36"/>
      <c r="S80" s="36"/>
      <c r="T80" s="36"/>
      <c r="U80" s="36"/>
      <c r="V80" s="36"/>
      <c r="W80" s="36"/>
    </row>
    <row r="81" ht="15.75" customHeight="1">
      <c r="P81" s="36"/>
      <c r="Q81" s="36"/>
      <c r="R81" s="36"/>
      <c r="S81" s="36"/>
      <c r="T81" s="36"/>
      <c r="U81" s="36"/>
      <c r="V81" s="36"/>
      <c r="W81" s="36"/>
    </row>
    <row r="82" ht="15.75" customHeight="1">
      <c r="P82" s="36"/>
      <c r="Q82" s="36"/>
      <c r="R82" s="36"/>
      <c r="S82" s="36"/>
      <c r="T82" s="36"/>
      <c r="U82" s="36"/>
      <c r="V82" s="36"/>
      <c r="W82" s="36"/>
    </row>
    <row r="83" ht="15.75" customHeight="1">
      <c r="P83" s="36"/>
      <c r="Q83" s="36"/>
      <c r="R83" s="36"/>
      <c r="S83" s="36"/>
      <c r="T83" s="36"/>
      <c r="U83" s="36"/>
      <c r="V83" s="36"/>
      <c r="W83" s="36"/>
    </row>
    <row r="84" ht="15.75" customHeight="1">
      <c r="P84" s="36"/>
      <c r="Q84" s="36"/>
      <c r="R84" s="36"/>
      <c r="S84" s="36"/>
      <c r="T84" s="36"/>
      <c r="U84" s="36"/>
      <c r="V84" s="36"/>
      <c r="W84" s="36"/>
    </row>
    <row r="85" ht="15.75" customHeight="1">
      <c r="P85" s="36"/>
      <c r="Q85" s="36"/>
      <c r="R85" s="36"/>
      <c r="S85" s="36"/>
      <c r="T85" s="36"/>
      <c r="U85" s="36"/>
      <c r="V85" s="36"/>
      <c r="W85" s="36"/>
    </row>
    <row r="86" ht="15.75" customHeight="1">
      <c r="P86" s="36"/>
      <c r="Q86" s="36"/>
      <c r="R86" s="36"/>
      <c r="S86" s="36"/>
      <c r="T86" s="36"/>
      <c r="U86" s="36"/>
      <c r="V86" s="36"/>
      <c r="W86" s="36"/>
    </row>
    <row r="87" ht="15.75" customHeight="1">
      <c r="P87" s="36"/>
      <c r="Q87" s="36"/>
      <c r="R87" s="36"/>
      <c r="S87" s="36"/>
      <c r="T87" s="36"/>
      <c r="U87" s="36"/>
      <c r="V87" s="36"/>
      <c r="W87" s="36"/>
    </row>
    <row r="88" ht="15.75" customHeight="1">
      <c r="P88" s="36"/>
      <c r="Q88" s="36"/>
      <c r="R88" s="36"/>
      <c r="S88" s="36"/>
      <c r="T88" s="36"/>
      <c r="U88" s="36"/>
      <c r="V88" s="36"/>
      <c r="W88" s="36"/>
    </row>
    <row r="89" ht="15.75" customHeight="1">
      <c r="P89" s="36"/>
      <c r="Q89" s="36"/>
      <c r="R89" s="36"/>
      <c r="S89" s="36"/>
      <c r="T89" s="36"/>
      <c r="U89" s="36"/>
      <c r="V89" s="36"/>
      <c r="W89" s="36"/>
    </row>
    <row r="90" ht="15.75" customHeight="1">
      <c r="P90" s="36"/>
      <c r="Q90" s="36"/>
      <c r="R90" s="36"/>
      <c r="S90" s="36"/>
      <c r="T90" s="36"/>
      <c r="U90" s="36"/>
      <c r="V90" s="36"/>
      <c r="W90" s="36"/>
    </row>
    <row r="91" ht="15.75" customHeight="1">
      <c r="P91" s="36"/>
      <c r="Q91" s="36"/>
      <c r="R91" s="36"/>
      <c r="S91" s="36"/>
      <c r="T91" s="36"/>
      <c r="U91" s="36"/>
      <c r="V91" s="36"/>
      <c r="W91" s="36"/>
    </row>
    <row r="92" ht="15.75" customHeight="1">
      <c r="P92" s="36"/>
      <c r="Q92" s="36"/>
      <c r="R92" s="36"/>
      <c r="S92" s="36"/>
      <c r="T92" s="36"/>
      <c r="U92" s="36"/>
      <c r="V92" s="36"/>
      <c r="W92" s="36"/>
    </row>
    <row r="93" ht="15.75" customHeight="1">
      <c r="P93" s="36"/>
      <c r="Q93" s="36"/>
      <c r="R93" s="36"/>
      <c r="S93" s="36"/>
      <c r="T93" s="36"/>
      <c r="U93" s="36"/>
      <c r="V93" s="36"/>
      <c r="W93" s="36"/>
    </row>
    <row r="94" ht="15.75" customHeight="1">
      <c r="P94" s="36"/>
      <c r="Q94" s="36"/>
      <c r="R94" s="36"/>
      <c r="S94" s="36"/>
      <c r="T94" s="36"/>
      <c r="U94" s="36"/>
      <c r="V94" s="36"/>
      <c r="W94" s="36"/>
    </row>
    <row r="95" ht="15.75" customHeight="1">
      <c r="P95" s="36"/>
      <c r="Q95" s="36"/>
      <c r="R95" s="36"/>
      <c r="S95" s="36"/>
      <c r="T95" s="36"/>
      <c r="U95" s="36"/>
      <c r="V95" s="36"/>
      <c r="W95" s="36"/>
    </row>
    <row r="96" ht="15.75" customHeight="1">
      <c r="P96" s="36"/>
      <c r="Q96" s="36"/>
      <c r="R96" s="36"/>
      <c r="S96" s="36"/>
      <c r="T96" s="36"/>
      <c r="U96" s="36"/>
      <c r="V96" s="36"/>
      <c r="W96" s="36"/>
    </row>
    <row r="97" ht="15.75" customHeight="1">
      <c r="P97" s="36"/>
      <c r="Q97" s="36"/>
      <c r="R97" s="36"/>
      <c r="S97" s="36"/>
      <c r="T97" s="36"/>
      <c r="U97" s="36"/>
      <c r="V97" s="36"/>
      <c r="W97" s="36"/>
    </row>
    <row r="98" ht="15.75" customHeight="1">
      <c r="P98" s="36"/>
      <c r="Q98" s="36"/>
      <c r="R98" s="36"/>
      <c r="S98" s="36"/>
      <c r="T98" s="36"/>
      <c r="U98" s="36"/>
      <c r="V98" s="36"/>
      <c r="W98" s="36"/>
    </row>
    <row r="99" ht="15.75" customHeight="1">
      <c r="P99" s="36"/>
      <c r="Q99" s="36"/>
      <c r="R99" s="36"/>
      <c r="S99" s="36"/>
      <c r="T99" s="36"/>
      <c r="U99" s="36"/>
      <c r="V99" s="36"/>
      <c r="W99" s="36"/>
    </row>
    <row r="100" ht="15.75" customHeight="1">
      <c r="P100" s="36"/>
      <c r="Q100" s="36"/>
      <c r="R100" s="36"/>
      <c r="S100" s="36"/>
      <c r="T100" s="36"/>
      <c r="U100" s="36"/>
      <c r="V100" s="36"/>
      <c r="W100" s="36"/>
    </row>
    <row r="101" ht="15.75" customHeight="1">
      <c r="P101" s="36"/>
      <c r="Q101" s="36"/>
      <c r="R101" s="36"/>
      <c r="S101" s="36"/>
      <c r="T101" s="36"/>
      <c r="U101" s="36"/>
      <c r="V101" s="36"/>
      <c r="W101" s="36"/>
    </row>
    <row r="102" ht="15.75" customHeight="1">
      <c r="P102" s="36"/>
      <c r="Q102" s="36"/>
      <c r="R102" s="36"/>
      <c r="S102" s="36"/>
      <c r="T102" s="36"/>
      <c r="U102" s="36"/>
      <c r="V102" s="36"/>
      <c r="W102" s="36"/>
    </row>
    <row r="103" ht="15.75" customHeight="1">
      <c r="P103" s="36"/>
      <c r="Q103" s="36"/>
      <c r="R103" s="36"/>
      <c r="S103" s="36"/>
      <c r="T103" s="36"/>
      <c r="U103" s="36"/>
      <c r="V103" s="36"/>
      <c r="W103" s="36"/>
    </row>
    <row r="104" ht="15.75" customHeight="1">
      <c r="P104" s="36"/>
      <c r="Q104" s="36"/>
      <c r="R104" s="36"/>
      <c r="S104" s="36"/>
      <c r="T104" s="36"/>
      <c r="U104" s="36"/>
      <c r="V104" s="36"/>
      <c r="W104" s="36"/>
    </row>
    <row r="105" ht="15.75" customHeight="1">
      <c r="P105" s="36"/>
      <c r="Q105" s="36"/>
      <c r="R105" s="36"/>
      <c r="S105" s="36"/>
      <c r="T105" s="36"/>
      <c r="U105" s="36"/>
      <c r="V105" s="36"/>
      <c r="W105" s="36"/>
    </row>
    <row r="106" ht="15.75" customHeight="1">
      <c r="P106" s="36"/>
      <c r="Q106" s="36"/>
      <c r="R106" s="36"/>
      <c r="S106" s="36"/>
      <c r="T106" s="36"/>
      <c r="U106" s="36"/>
      <c r="V106" s="36"/>
      <c r="W106" s="36"/>
    </row>
    <row r="107" ht="15.75" customHeight="1">
      <c r="P107" s="36"/>
      <c r="Q107" s="36"/>
      <c r="R107" s="36"/>
      <c r="S107" s="36"/>
      <c r="T107" s="36"/>
      <c r="U107" s="36"/>
      <c r="V107" s="36"/>
      <c r="W107" s="36"/>
    </row>
    <row r="108" ht="15.75" customHeight="1">
      <c r="P108" s="36"/>
      <c r="Q108" s="36"/>
      <c r="R108" s="36"/>
      <c r="S108" s="36"/>
      <c r="T108" s="36"/>
      <c r="U108" s="36"/>
      <c r="V108" s="36"/>
      <c r="W108" s="36"/>
    </row>
    <row r="109" ht="15.75" customHeight="1">
      <c r="P109" s="36"/>
      <c r="Q109" s="36"/>
      <c r="R109" s="36"/>
      <c r="S109" s="36"/>
      <c r="T109" s="36"/>
      <c r="U109" s="36"/>
      <c r="V109" s="36"/>
      <c r="W109" s="36"/>
    </row>
    <row r="110" ht="15.75" customHeight="1">
      <c r="P110" s="36"/>
      <c r="Q110" s="36"/>
      <c r="R110" s="36"/>
      <c r="S110" s="36"/>
      <c r="T110" s="36"/>
      <c r="U110" s="36"/>
      <c r="V110" s="36"/>
      <c r="W110" s="36"/>
    </row>
    <row r="111" ht="15.75" customHeight="1">
      <c r="P111" s="36"/>
      <c r="Q111" s="36"/>
      <c r="R111" s="36"/>
      <c r="S111" s="36"/>
      <c r="T111" s="36"/>
      <c r="U111" s="36"/>
      <c r="V111" s="36"/>
      <c r="W111" s="36"/>
    </row>
    <row r="112" ht="15.75" customHeight="1">
      <c r="P112" s="36"/>
      <c r="Q112" s="36"/>
      <c r="R112" s="36"/>
      <c r="S112" s="36"/>
      <c r="T112" s="36"/>
      <c r="U112" s="36"/>
      <c r="V112" s="36"/>
      <c r="W112" s="36"/>
    </row>
    <row r="113" ht="15.75" customHeight="1">
      <c r="P113" s="36"/>
      <c r="Q113" s="36"/>
      <c r="R113" s="36"/>
      <c r="S113" s="36"/>
      <c r="T113" s="36"/>
      <c r="U113" s="36"/>
      <c r="V113" s="36"/>
      <c r="W113" s="36"/>
    </row>
    <row r="114" ht="15.75" customHeight="1">
      <c r="P114" s="36"/>
      <c r="Q114" s="36"/>
      <c r="R114" s="36"/>
      <c r="S114" s="36"/>
      <c r="T114" s="36"/>
      <c r="U114" s="36"/>
      <c r="V114" s="36"/>
      <c r="W114" s="36"/>
    </row>
    <row r="115" ht="15.75" customHeight="1">
      <c r="P115" s="36"/>
      <c r="Q115" s="36"/>
      <c r="R115" s="36"/>
      <c r="S115" s="36"/>
      <c r="T115" s="36"/>
      <c r="U115" s="36"/>
      <c r="V115" s="36"/>
      <c r="W115" s="36"/>
    </row>
    <row r="116" ht="15.75" customHeight="1">
      <c r="P116" s="36"/>
      <c r="Q116" s="36"/>
      <c r="R116" s="36"/>
      <c r="S116" s="36"/>
      <c r="T116" s="36"/>
      <c r="U116" s="36"/>
      <c r="V116" s="36"/>
      <c r="W116" s="36"/>
    </row>
    <row r="117" ht="15.75" customHeight="1">
      <c r="P117" s="36"/>
      <c r="Q117" s="36"/>
      <c r="R117" s="36"/>
      <c r="S117" s="36"/>
      <c r="T117" s="36"/>
      <c r="U117" s="36"/>
      <c r="V117" s="36"/>
      <c r="W117" s="36"/>
    </row>
    <row r="118" ht="15.75" customHeight="1">
      <c r="P118" s="36"/>
      <c r="Q118" s="36"/>
      <c r="R118" s="36"/>
      <c r="S118" s="36"/>
      <c r="T118" s="36"/>
      <c r="U118" s="36"/>
      <c r="V118" s="36"/>
      <c r="W118" s="36"/>
    </row>
    <row r="119" ht="15.75" customHeight="1">
      <c r="P119" s="36"/>
      <c r="Q119" s="36"/>
      <c r="R119" s="36"/>
      <c r="S119" s="36"/>
      <c r="T119" s="36"/>
      <c r="U119" s="36"/>
      <c r="V119" s="36"/>
      <c r="W119" s="36"/>
    </row>
    <row r="120" ht="15.75" customHeight="1">
      <c r="P120" s="36"/>
      <c r="Q120" s="36"/>
      <c r="R120" s="36"/>
      <c r="S120" s="36"/>
      <c r="T120" s="36"/>
      <c r="U120" s="36"/>
      <c r="V120" s="36"/>
      <c r="W120" s="36"/>
    </row>
    <row r="121" ht="15.75" customHeight="1">
      <c r="P121" s="36"/>
      <c r="Q121" s="36"/>
      <c r="R121" s="36"/>
      <c r="S121" s="36"/>
      <c r="T121" s="36"/>
      <c r="U121" s="36"/>
      <c r="V121" s="36"/>
      <c r="W121" s="36"/>
    </row>
    <row r="122" ht="15.75" customHeight="1">
      <c r="P122" s="36"/>
      <c r="Q122" s="36"/>
      <c r="R122" s="36"/>
      <c r="S122" s="36"/>
      <c r="T122" s="36"/>
      <c r="U122" s="36"/>
      <c r="V122" s="36"/>
      <c r="W122" s="36"/>
    </row>
    <row r="123" ht="15.75" customHeight="1">
      <c r="P123" s="36"/>
      <c r="Q123" s="36"/>
      <c r="R123" s="36"/>
      <c r="S123" s="36"/>
      <c r="T123" s="36"/>
      <c r="U123" s="36"/>
      <c r="V123" s="36"/>
      <c r="W123" s="36"/>
    </row>
    <row r="124" ht="15.75" customHeight="1">
      <c r="P124" s="36"/>
      <c r="Q124" s="36"/>
      <c r="R124" s="36"/>
      <c r="S124" s="36"/>
      <c r="T124" s="36"/>
      <c r="U124" s="36"/>
      <c r="V124" s="36"/>
      <c r="W124" s="36"/>
    </row>
    <row r="125" ht="15.75" customHeight="1">
      <c r="P125" s="36"/>
      <c r="Q125" s="36"/>
      <c r="R125" s="36"/>
      <c r="S125" s="36"/>
      <c r="T125" s="36"/>
      <c r="U125" s="36"/>
      <c r="V125" s="36"/>
      <c r="W125" s="36"/>
    </row>
    <row r="126" ht="15.75" customHeight="1">
      <c r="P126" s="36"/>
      <c r="Q126" s="36"/>
      <c r="R126" s="36"/>
      <c r="S126" s="36"/>
      <c r="T126" s="36"/>
      <c r="U126" s="36"/>
      <c r="V126" s="36"/>
      <c r="W126" s="36"/>
    </row>
    <row r="127" ht="15.75" customHeight="1">
      <c r="P127" s="36"/>
      <c r="Q127" s="36"/>
      <c r="R127" s="36"/>
      <c r="S127" s="36"/>
      <c r="T127" s="36"/>
      <c r="U127" s="36"/>
      <c r="V127" s="36"/>
      <c r="W127" s="36"/>
    </row>
    <row r="128" ht="15.75" customHeight="1">
      <c r="P128" s="36"/>
      <c r="Q128" s="36"/>
      <c r="R128" s="36"/>
      <c r="S128" s="36"/>
      <c r="T128" s="36"/>
      <c r="U128" s="36"/>
      <c r="V128" s="36"/>
      <c r="W128" s="36"/>
    </row>
    <row r="129" ht="15.75" customHeight="1">
      <c r="P129" s="36"/>
      <c r="Q129" s="36"/>
      <c r="R129" s="36"/>
      <c r="S129" s="36"/>
      <c r="T129" s="36"/>
      <c r="U129" s="36"/>
      <c r="V129" s="36"/>
      <c r="W129" s="36"/>
    </row>
    <row r="130" ht="15.75" customHeight="1">
      <c r="P130" s="36"/>
      <c r="Q130" s="36"/>
      <c r="R130" s="36"/>
      <c r="S130" s="36"/>
      <c r="T130" s="36"/>
      <c r="U130" s="36"/>
      <c r="V130" s="36"/>
      <c r="W130" s="36"/>
    </row>
    <row r="131" ht="15.75" customHeight="1">
      <c r="P131" s="36"/>
      <c r="Q131" s="36"/>
      <c r="R131" s="36"/>
      <c r="S131" s="36"/>
      <c r="T131" s="36"/>
      <c r="U131" s="36"/>
      <c r="V131" s="36"/>
      <c r="W131" s="36"/>
    </row>
    <row r="132" ht="15.75" customHeight="1">
      <c r="P132" s="36"/>
      <c r="Q132" s="36"/>
      <c r="R132" s="36"/>
      <c r="S132" s="36"/>
      <c r="T132" s="36"/>
      <c r="U132" s="36"/>
      <c r="V132" s="36"/>
      <c r="W132" s="36"/>
    </row>
    <row r="133" ht="15.75" customHeight="1">
      <c r="P133" s="36"/>
      <c r="Q133" s="36"/>
      <c r="R133" s="36"/>
      <c r="S133" s="36"/>
      <c r="T133" s="36"/>
      <c r="U133" s="36"/>
      <c r="V133" s="36"/>
      <c r="W133" s="36"/>
    </row>
    <row r="134" ht="15.75" customHeight="1">
      <c r="P134" s="36"/>
      <c r="Q134" s="36"/>
      <c r="R134" s="36"/>
      <c r="S134" s="36"/>
      <c r="T134" s="36"/>
      <c r="U134" s="36"/>
      <c r="V134" s="36"/>
      <c r="W134" s="36"/>
    </row>
    <row r="135" ht="15.75" customHeight="1">
      <c r="P135" s="36"/>
      <c r="Q135" s="36"/>
      <c r="R135" s="36"/>
      <c r="S135" s="36"/>
      <c r="T135" s="36"/>
      <c r="U135" s="36"/>
      <c r="V135" s="36"/>
      <c r="W135" s="36"/>
    </row>
    <row r="136" ht="15.75" customHeight="1">
      <c r="P136" s="36"/>
      <c r="Q136" s="36"/>
      <c r="R136" s="36"/>
      <c r="S136" s="36"/>
      <c r="T136" s="36"/>
      <c r="U136" s="36"/>
      <c r="V136" s="36"/>
      <c r="W136" s="36"/>
    </row>
    <row r="137" ht="15.75" customHeight="1">
      <c r="P137" s="36"/>
      <c r="Q137" s="36"/>
      <c r="R137" s="36"/>
      <c r="S137" s="36"/>
      <c r="T137" s="36"/>
      <c r="U137" s="36"/>
      <c r="V137" s="36"/>
      <c r="W137" s="36"/>
    </row>
    <row r="138" ht="15.75" customHeight="1">
      <c r="P138" s="36"/>
      <c r="Q138" s="36"/>
      <c r="R138" s="36"/>
      <c r="S138" s="36"/>
      <c r="T138" s="36"/>
      <c r="U138" s="36"/>
      <c r="V138" s="36"/>
      <c r="W138" s="36"/>
    </row>
    <row r="139" ht="15.75" customHeight="1">
      <c r="P139" s="36"/>
      <c r="Q139" s="36"/>
      <c r="R139" s="36"/>
      <c r="S139" s="36"/>
      <c r="T139" s="36"/>
      <c r="U139" s="36"/>
      <c r="V139" s="36"/>
      <c r="W139" s="36"/>
    </row>
    <row r="140" ht="15.75" customHeight="1">
      <c r="P140" s="36"/>
      <c r="Q140" s="36"/>
      <c r="R140" s="36"/>
      <c r="S140" s="36"/>
      <c r="T140" s="36"/>
      <c r="U140" s="36"/>
      <c r="V140" s="36"/>
      <c r="W140" s="36"/>
    </row>
    <row r="141" ht="15.75" customHeight="1">
      <c r="P141" s="36"/>
      <c r="Q141" s="36"/>
      <c r="R141" s="36"/>
      <c r="S141" s="36"/>
      <c r="T141" s="36"/>
      <c r="U141" s="36"/>
      <c r="V141" s="36"/>
      <c r="W141" s="36"/>
    </row>
    <row r="142" ht="15.75" customHeight="1">
      <c r="P142" s="36"/>
      <c r="Q142" s="36"/>
      <c r="R142" s="36"/>
      <c r="S142" s="36"/>
      <c r="T142" s="36"/>
      <c r="U142" s="36"/>
      <c r="V142" s="36"/>
      <c r="W142" s="36"/>
    </row>
    <row r="143" ht="15.75" customHeight="1">
      <c r="P143" s="36"/>
      <c r="Q143" s="36"/>
      <c r="R143" s="36"/>
      <c r="S143" s="36"/>
      <c r="T143" s="36"/>
      <c r="U143" s="36"/>
      <c r="V143" s="36"/>
      <c r="W143" s="36"/>
    </row>
    <row r="144" ht="15.75" customHeight="1">
      <c r="P144" s="36"/>
      <c r="Q144" s="36"/>
      <c r="R144" s="36"/>
      <c r="S144" s="36"/>
      <c r="T144" s="36"/>
      <c r="U144" s="36"/>
      <c r="V144" s="36"/>
      <c r="W144" s="36"/>
    </row>
    <row r="145" ht="15.75" customHeight="1">
      <c r="P145" s="36"/>
      <c r="Q145" s="36"/>
      <c r="R145" s="36"/>
      <c r="S145" s="36"/>
      <c r="T145" s="36"/>
      <c r="U145" s="36"/>
      <c r="V145" s="36"/>
      <c r="W145" s="36"/>
    </row>
    <row r="146" ht="15.75" customHeight="1">
      <c r="P146" s="36"/>
      <c r="Q146" s="36"/>
      <c r="R146" s="36"/>
      <c r="S146" s="36"/>
      <c r="T146" s="36"/>
      <c r="U146" s="36"/>
      <c r="V146" s="36"/>
      <c r="W146" s="36"/>
    </row>
    <row r="147" ht="15.75" customHeight="1">
      <c r="P147" s="36"/>
      <c r="Q147" s="36"/>
      <c r="R147" s="36"/>
      <c r="S147" s="36"/>
      <c r="T147" s="36"/>
      <c r="U147" s="36"/>
      <c r="V147" s="36"/>
      <c r="W147" s="36"/>
    </row>
    <row r="148" ht="15.75" customHeight="1">
      <c r="P148" s="36"/>
      <c r="Q148" s="36"/>
      <c r="R148" s="36"/>
      <c r="S148" s="36"/>
      <c r="T148" s="36"/>
      <c r="U148" s="36"/>
      <c r="V148" s="36"/>
      <c r="W148" s="36"/>
    </row>
    <row r="149" ht="15.75" customHeight="1">
      <c r="P149" s="36"/>
      <c r="Q149" s="36"/>
      <c r="R149" s="36"/>
      <c r="S149" s="36"/>
      <c r="T149" s="36"/>
      <c r="U149" s="36"/>
      <c r="V149" s="36"/>
      <c r="W149" s="36"/>
    </row>
    <row r="150" ht="15.75" customHeight="1">
      <c r="P150" s="36"/>
      <c r="Q150" s="36"/>
      <c r="R150" s="36"/>
      <c r="S150" s="36"/>
      <c r="T150" s="36"/>
      <c r="U150" s="36"/>
      <c r="V150" s="36"/>
      <c r="W150" s="36"/>
    </row>
    <row r="151" ht="15.75" customHeight="1">
      <c r="P151" s="36"/>
      <c r="Q151" s="36"/>
      <c r="R151" s="36"/>
      <c r="S151" s="36"/>
      <c r="T151" s="36"/>
      <c r="U151" s="36"/>
      <c r="V151" s="36"/>
      <c r="W151" s="36"/>
    </row>
    <row r="152" ht="15.75" customHeight="1">
      <c r="P152" s="36"/>
      <c r="Q152" s="36"/>
      <c r="R152" s="36"/>
      <c r="S152" s="36"/>
      <c r="T152" s="36"/>
      <c r="U152" s="36"/>
      <c r="V152" s="36"/>
      <c r="W152" s="36"/>
    </row>
    <row r="153" ht="15.75" customHeight="1">
      <c r="P153" s="36"/>
      <c r="Q153" s="36"/>
      <c r="R153" s="36"/>
      <c r="S153" s="36"/>
      <c r="T153" s="36"/>
      <c r="U153" s="36"/>
      <c r="V153" s="36"/>
      <c r="W153" s="36"/>
    </row>
    <row r="154" ht="15.75" customHeight="1">
      <c r="P154" s="36"/>
      <c r="Q154" s="36"/>
      <c r="R154" s="36"/>
      <c r="S154" s="36"/>
      <c r="T154" s="36"/>
      <c r="U154" s="36"/>
      <c r="V154" s="36"/>
      <c r="W154" s="36"/>
    </row>
    <row r="155" ht="15.75" customHeight="1">
      <c r="P155" s="36"/>
      <c r="Q155" s="36"/>
      <c r="R155" s="36"/>
      <c r="S155" s="36"/>
      <c r="T155" s="36"/>
      <c r="U155" s="36"/>
      <c r="V155" s="36"/>
      <c r="W155" s="36"/>
    </row>
    <row r="156" ht="15.75" customHeight="1">
      <c r="P156" s="36"/>
      <c r="Q156" s="36"/>
      <c r="R156" s="36"/>
      <c r="S156" s="36"/>
      <c r="T156" s="36"/>
      <c r="U156" s="36"/>
      <c r="V156" s="36"/>
      <c r="W156" s="36"/>
    </row>
    <row r="157" ht="15.75" customHeight="1">
      <c r="P157" s="36"/>
      <c r="Q157" s="36"/>
      <c r="R157" s="36"/>
      <c r="S157" s="36"/>
      <c r="T157" s="36"/>
      <c r="U157" s="36"/>
      <c r="V157" s="36"/>
      <c r="W157" s="36"/>
    </row>
    <row r="158" ht="15.75" customHeight="1">
      <c r="P158" s="36"/>
      <c r="Q158" s="36"/>
      <c r="R158" s="36"/>
      <c r="S158" s="36"/>
      <c r="T158" s="36"/>
      <c r="U158" s="36"/>
      <c r="V158" s="36"/>
      <c r="W158" s="36"/>
    </row>
    <row r="159" ht="15.75" customHeight="1">
      <c r="P159" s="36"/>
      <c r="Q159" s="36"/>
      <c r="R159" s="36"/>
      <c r="S159" s="36"/>
      <c r="T159" s="36"/>
      <c r="U159" s="36"/>
      <c r="V159" s="36"/>
      <c r="W159" s="36"/>
    </row>
    <row r="160" ht="15.75" customHeight="1">
      <c r="P160" s="36"/>
      <c r="Q160" s="36"/>
      <c r="R160" s="36"/>
      <c r="S160" s="36"/>
      <c r="T160" s="36"/>
      <c r="U160" s="36"/>
      <c r="V160" s="36"/>
      <c r="W160" s="36"/>
    </row>
    <row r="161" ht="15.75" customHeight="1">
      <c r="P161" s="36"/>
      <c r="Q161" s="36"/>
      <c r="R161" s="36"/>
      <c r="S161" s="36"/>
      <c r="T161" s="36"/>
      <c r="U161" s="36"/>
      <c r="V161" s="36"/>
      <c r="W161" s="36"/>
    </row>
    <row r="162" ht="15.75" customHeight="1">
      <c r="P162" s="36"/>
      <c r="Q162" s="36"/>
      <c r="R162" s="36"/>
      <c r="S162" s="36"/>
      <c r="T162" s="36"/>
      <c r="U162" s="36"/>
      <c r="V162" s="36"/>
      <c r="W162" s="36"/>
    </row>
    <row r="163" ht="15.75" customHeight="1">
      <c r="P163" s="36"/>
      <c r="Q163" s="36"/>
      <c r="R163" s="36"/>
      <c r="S163" s="36"/>
      <c r="T163" s="36"/>
      <c r="U163" s="36"/>
      <c r="V163" s="36"/>
      <c r="W163" s="36"/>
    </row>
    <row r="164" ht="15.75" customHeight="1">
      <c r="P164" s="36"/>
      <c r="Q164" s="36"/>
      <c r="R164" s="36"/>
      <c r="S164" s="36"/>
      <c r="T164" s="36"/>
      <c r="U164" s="36"/>
      <c r="V164" s="36"/>
      <c r="W164" s="36"/>
    </row>
    <row r="165" ht="15.75" customHeight="1">
      <c r="P165" s="36"/>
      <c r="Q165" s="36"/>
      <c r="R165" s="36"/>
      <c r="S165" s="36"/>
      <c r="T165" s="36"/>
      <c r="U165" s="36"/>
      <c r="V165" s="36"/>
      <c r="W165" s="36"/>
    </row>
    <row r="166" ht="15.75" customHeight="1">
      <c r="P166" s="36"/>
      <c r="Q166" s="36"/>
      <c r="R166" s="36"/>
      <c r="S166" s="36"/>
      <c r="T166" s="36"/>
      <c r="U166" s="36"/>
      <c r="V166" s="36"/>
      <c r="W166" s="36"/>
    </row>
    <row r="167" ht="15.75" customHeight="1">
      <c r="P167" s="36"/>
      <c r="Q167" s="36"/>
      <c r="R167" s="36"/>
      <c r="S167" s="36"/>
      <c r="T167" s="36"/>
      <c r="U167" s="36"/>
      <c r="V167" s="36"/>
      <c r="W167" s="36"/>
    </row>
    <row r="168" ht="15.75" customHeight="1">
      <c r="P168" s="36"/>
      <c r="Q168" s="36"/>
      <c r="R168" s="36"/>
      <c r="S168" s="36"/>
      <c r="T168" s="36"/>
      <c r="U168" s="36"/>
      <c r="V168" s="36"/>
      <c r="W168" s="36"/>
    </row>
    <row r="169" ht="15.75" customHeight="1">
      <c r="P169" s="36"/>
      <c r="Q169" s="36"/>
      <c r="R169" s="36"/>
      <c r="S169" s="36"/>
      <c r="T169" s="36"/>
      <c r="U169" s="36"/>
      <c r="V169" s="36"/>
      <c r="W169" s="36"/>
    </row>
    <row r="170" ht="15.75" customHeight="1">
      <c r="P170" s="36"/>
      <c r="Q170" s="36"/>
      <c r="R170" s="36"/>
      <c r="S170" s="36"/>
      <c r="T170" s="36"/>
      <c r="U170" s="36"/>
      <c r="V170" s="36"/>
      <c r="W170" s="36"/>
    </row>
    <row r="171" ht="15.75" customHeight="1">
      <c r="P171" s="36"/>
      <c r="Q171" s="36"/>
      <c r="R171" s="36"/>
      <c r="S171" s="36"/>
      <c r="T171" s="36"/>
      <c r="U171" s="36"/>
      <c r="V171" s="36"/>
      <c r="W171" s="36"/>
    </row>
    <row r="172" ht="15.75" customHeight="1">
      <c r="P172" s="36"/>
      <c r="Q172" s="36"/>
      <c r="R172" s="36"/>
      <c r="S172" s="36"/>
      <c r="T172" s="36"/>
      <c r="U172" s="36"/>
      <c r="V172" s="36"/>
      <c r="W172" s="36"/>
    </row>
    <row r="173" ht="15.75" customHeight="1">
      <c r="P173" s="36"/>
      <c r="Q173" s="36"/>
      <c r="R173" s="36"/>
      <c r="S173" s="36"/>
      <c r="T173" s="36"/>
      <c r="U173" s="36"/>
      <c r="V173" s="36"/>
      <c r="W173" s="36"/>
    </row>
    <row r="174" ht="15.75" customHeight="1">
      <c r="P174" s="36"/>
      <c r="Q174" s="36"/>
      <c r="R174" s="36"/>
      <c r="S174" s="36"/>
      <c r="T174" s="36"/>
      <c r="U174" s="36"/>
      <c r="V174" s="36"/>
      <c r="W174" s="36"/>
    </row>
    <row r="175" ht="15.75" customHeight="1">
      <c r="P175" s="36"/>
      <c r="Q175" s="36"/>
      <c r="R175" s="36"/>
      <c r="S175" s="36"/>
      <c r="T175" s="36"/>
      <c r="U175" s="36"/>
      <c r="V175" s="36"/>
      <c r="W175" s="36"/>
    </row>
    <row r="176" ht="15.75" customHeight="1">
      <c r="P176" s="36"/>
      <c r="Q176" s="36"/>
      <c r="R176" s="36"/>
      <c r="S176" s="36"/>
      <c r="T176" s="36"/>
      <c r="U176" s="36"/>
      <c r="V176" s="36"/>
      <c r="W176" s="36"/>
    </row>
    <row r="177" ht="15.75" customHeight="1">
      <c r="P177" s="36"/>
      <c r="Q177" s="36"/>
      <c r="R177" s="36"/>
      <c r="S177" s="36"/>
      <c r="T177" s="36"/>
      <c r="U177" s="36"/>
      <c r="V177" s="36"/>
      <c r="W177" s="36"/>
    </row>
    <row r="178" ht="15.75" customHeight="1">
      <c r="P178" s="36"/>
      <c r="Q178" s="36"/>
      <c r="R178" s="36"/>
      <c r="S178" s="36"/>
      <c r="T178" s="36"/>
      <c r="U178" s="36"/>
      <c r="V178" s="36"/>
      <c r="W178" s="36"/>
    </row>
    <row r="179" ht="15.75" customHeight="1">
      <c r="P179" s="36"/>
      <c r="Q179" s="36"/>
      <c r="R179" s="36"/>
      <c r="S179" s="36"/>
      <c r="T179" s="36"/>
      <c r="U179" s="36"/>
      <c r="V179" s="36"/>
      <c r="W179" s="36"/>
    </row>
    <row r="180" ht="15.75" customHeight="1">
      <c r="P180" s="36"/>
      <c r="Q180" s="36"/>
      <c r="R180" s="36"/>
      <c r="S180" s="36"/>
      <c r="T180" s="36"/>
      <c r="U180" s="36"/>
      <c r="V180" s="36"/>
      <c r="W180" s="36"/>
    </row>
    <row r="181" ht="15.75" customHeight="1">
      <c r="P181" s="36"/>
      <c r="Q181" s="36"/>
      <c r="R181" s="36"/>
      <c r="S181" s="36"/>
      <c r="T181" s="36"/>
      <c r="U181" s="36"/>
      <c r="V181" s="36"/>
      <c r="W181" s="36"/>
    </row>
    <row r="182" ht="15.75" customHeight="1">
      <c r="P182" s="36"/>
      <c r="Q182" s="36"/>
      <c r="R182" s="36"/>
      <c r="S182" s="36"/>
      <c r="T182" s="36"/>
      <c r="U182" s="36"/>
      <c r="V182" s="36"/>
      <c r="W182" s="36"/>
    </row>
    <row r="183" ht="15.75" customHeight="1">
      <c r="P183" s="36"/>
      <c r="Q183" s="36"/>
      <c r="R183" s="36"/>
      <c r="S183" s="36"/>
      <c r="T183" s="36"/>
      <c r="U183" s="36"/>
      <c r="V183" s="36"/>
      <c r="W183" s="36"/>
    </row>
    <row r="184" ht="15.75" customHeight="1">
      <c r="P184" s="36"/>
      <c r="Q184" s="36"/>
      <c r="R184" s="36"/>
      <c r="S184" s="36"/>
      <c r="T184" s="36"/>
      <c r="U184" s="36"/>
      <c r="V184" s="36"/>
      <c r="W184" s="36"/>
    </row>
    <row r="185" ht="15.75" customHeight="1">
      <c r="P185" s="36"/>
      <c r="Q185" s="36"/>
      <c r="R185" s="36"/>
      <c r="S185" s="36"/>
      <c r="T185" s="36"/>
      <c r="U185" s="36"/>
      <c r="V185" s="36"/>
      <c r="W185" s="36"/>
    </row>
    <row r="186" ht="15.75" customHeight="1">
      <c r="P186" s="36"/>
      <c r="Q186" s="36"/>
      <c r="R186" s="36"/>
      <c r="S186" s="36"/>
      <c r="T186" s="36"/>
      <c r="U186" s="36"/>
      <c r="V186" s="36"/>
      <c r="W186" s="36"/>
    </row>
    <row r="187" ht="15.75" customHeight="1">
      <c r="P187" s="36"/>
      <c r="Q187" s="36"/>
      <c r="R187" s="36"/>
      <c r="S187" s="36"/>
      <c r="T187" s="36"/>
      <c r="U187" s="36"/>
      <c r="V187" s="36"/>
      <c r="W187" s="36"/>
    </row>
    <row r="188" ht="15.75" customHeight="1">
      <c r="P188" s="36"/>
      <c r="Q188" s="36"/>
      <c r="R188" s="36"/>
      <c r="S188" s="36"/>
      <c r="T188" s="36"/>
      <c r="U188" s="36"/>
      <c r="V188" s="36"/>
      <c r="W188" s="36"/>
    </row>
    <row r="189" ht="15.75" customHeight="1">
      <c r="P189" s="36"/>
      <c r="Q189" s="36"/>
      <c r="R189" s="36"/>
      <c r="S189" s="36"/>
      <c r="T189" s="36"/>
      <c r="U189" s="36"/>
      <c r="V189" s="36"/>
      <c r="W189" s="36"/>
    </row>
    <row r="190" ht="15.75" customHeight="1">
      <c r="P190" s="36"/>
      <c r="Q190" s="36"/>
      <c r="R190" s="36"/>
      <c r="S190" s="36"/>
      <c r="T190" s="36"/>
      <c r="U190" s="36"/>
      <c r="V190" s="36"/>
      <c r="W190" s="36"/>
    </row>
    <row r="191" ht="15.75" customHeight="1">
      <c r="P191" s="36"/>
      <c r="Q191" s="36"/>
      <c r="R191" s="36"/>
      <c r="S191" s="36"/>
      <c r="T191" s="36"/>
      <c r="U191" s="36"/>
      <c r="V191" s="36"/>
      <c r="W191" s="36"/>
    </row>
    <row r="192" ht="15.75" customHeight="1">
      <c r="P192" s="36"/>
      <c r="Q192" s="36"/>
      <c r="R192" s="36"/>
      <c r="S192" s="36"/>
      <c r="T192" s="36"/>
      <c r="U192" s="36"/>
      <c r="V192" s="36"/>
      <c r="W192" s="36"/>
    </row>
    <row r="193" ht="15.75" customHeight="1">
      <c r="P193" s="36"/>
      <c r="Q193" s="36"/>
      <c r="R193" s="36"/>
      <c r="S193" s="36"/>
      <c r="T193" s="36"/>
      <c r="U193" s="36"/>
      <c r="V193" s="36"/>
      <c r="W193" s="36"/>
    </row>
    <row r="194" ht="15.75" customHeight="1">
      <c r="P194" s="36"/>
      <c r="Q194" s="36"/>
      <c r="R194" s="36"/>
      <c r="S194" s="36"/>
      <c r="T194" s="36"/>
      <c r="U194" s="36"/>
      <c r="V194" s="36"/>
      <c r="W194" s="36"/>
    </row>
    <row r="195" ht="15.75" customHeight="1">
      <c r="P195" s="36"/>
      <c r="Q195" s="36"/>
      <c r="R195" s="36"/>
      <c r="S195" s="36"/>
      <c r="T195" s="36"/>
      <c r="U195" s="36"/>
      <c r="V195" s="36"/>
      <c r="W195" s="36"/>
    </row>
    <row r="196" ht="15.75" customHeight="1">
      <c r="P196" s="36"/>
      <c r="Q196" s="36"/>
      <c r="R196" s="36"/>
      <c r="S196" s="36"/>
      <c r="T196" s="36"/>
      <c r="U196" s="36"/>
      <c r="V196" s="36"/>
      <c r="W196" s="36"/>
    </row>
    <row r="197" ht="15.75" customHeight="1">
      <c r="P197" s="36"/>
      <c r="Q197" s="36"/>
      <c r="R197" s="36"/>
      <c r="S197" s="36"/>
      <c r="T197" s="36"/>
      <c r="U197" s="36"/>
      <c r="V197" s="36"/>
      <c r="W197" s="36"/>
    </row>
    <row r="198" ht="15.75" customHeight="1">
      <c r="P198" s="36"/>
      <c r="Q198" s="36"/>
      <c r="R198" s="36"/>
      <c r="S198" s="36"/>
      <c r="T198" s="36"/>
      <c r="U198" s="36"/>
      <c r="V198" s="36"/>
      <c r="W198" s="36"/>
    </row>
    <row r="199" ht="15.75" customHeight="1">
      <c r="P199" s="36"/>
      <c r="Q199" s="36"/>
      <c r="R199" s="36"/>
      <c r="S199" s="36"/>
      <c r="T199" s="36"/>
      <c r="U199" s="36"/>
      <c r="V199" s="36"/>
      <c r="W199" s="36"/>
    </row>
    <row r="200" ht="15.75" customHeight="1">
      <c r="P200" s="36"/>
      <c r="Q200" s="36"/>
      <c r="R200" s="36"/>
      <c r="S200" s="36"/>
      <c r="T200" s="36"/>
      <c r="U200" s="36"/>
      <c r="V200" s="36"/>
      <c r="W200" s="36"/>
    </row>
    <row r="201" ht="15.75" customHeight="1">
      <c r="P201" s="36"/>
      <c r="Q201" s="36"/>
      <c r="R201" s="36"/>
      <c r="S201" s="36"/>
      <c r="T201" s="36"/>
      <c r="U201" s="36"/>
      <c r="V201" s="36"/>
      <c r="W201" s="36"/>
    </row>
    <row r="202" ht="15.75" customHeight="1">
      <c r="P202" s="36"/>
      <c r="Q202" s="36"/>
      <c r="R202" s="36"/>
      <c r="S202" s="36"/>
      <c r="T202" s="36"/>
      <c r="U202" s="36"/>
      <c r="V202" s="36"/>
      <c r="W202" s="36"/>
    </row>
    <row r="203" ht="15.75" customHeight="1">
      <c r="P203" s="36"/>
      <c r="Q203" s="36"/>
      <c r="R203" s="36"/>
      <c r="S203" s="36"/>
      <c r="T203" s="36"/>
      <c r="U203" s="36"/>
      <c r="V203" s="36"/>
      <c r="W203" s="36"/>
    </row>
    <row r="204" ht="15.75" customHeight="1">
      <c r="P204" s="36"/>
      <c r="Q204" s="36"/>
      <c r="R204" s="36"/>
      <c r="S204" s="36"/>
      <c r="T204" s="36"/>
      <c r="U204" s="36"/>
      <c r="V204" s="36"/>
      <c r="W204" s="36"/>
    </row>
    <row r="205" ht="15.75" customHeight="1">
      <c r="P205" s="36"/>
      <c r="Q205" s="36"/>
      <c r="R205" s="36"/>
      <c r="S205" s="36"/>
      <c r="T205" s="36"/>
      <c r="U205" s="36"/>
      <c r="V205" s="36"/>
      <c r="W205" s="36"/>
    </row>
    <row r="206" ht="15.75" customHeight="1">
      <c r="P206" s="36"/>
      <c r="Q206" s="36"/>
      <c r="R206" s="36"/>
      <c r="S206" s="36"/>
      <c r="T206" s="36"/>
      <c r="U206" s="36"/>
      <c r="V206" s="36"/>
      <c r="W206" s="36"/>
    </row>
    <row r="207" ht="15.75" customHeight="1">
      <c r="P207" s="36"/>
      <c r="Q207" s="36"/>
      <c r="R207" s="36"/>
      <c r="S207" s="36"/>
      <c r="T207" s="36"/>
      <c r="U207" s="36"/>
      <c r="V207" s="36"/>
      <c r="W207" s="36"/>
    </row>
    <row r="208" ht="15.75" customHeight="1">
      <c r="P208" s="36"/>
      <c r="Q208" s="36"/>
      <c r="R208" s="36"/>
      <c r="S208" s="36"/>
      <c r="T208" s="36"/>
      <c r="U208" s="36"/>
      <c r="V208" s="36"/>
      <c r="W208" s="36"/>
    </row>
    <row r="209" ht="15.75" customHeight="1">
      <c r="P209" s="36"/>
      <c r="Q209" s="36"/>
      <c r="R209" s="36"/>
      <c r="S209" s="36"/>
      <c r="T209" s="36"/>
      <c r="U209" s="36"/>
      <c r="V209" s="36"/>
      <c r="W209" s="36"/>
    </row>
    <row r="210" ht="15.75" customHeight="1">
      <c r="P210" s="36"/>
      <c r="Q210" s="36"/>
      <c r="R210" s="36"/>
      <c r="S210" s="36"/>
      <c r="T210" s="36"/>
      <c r="U210" s="36"/>
      <c r="V210" s="36"/>
      <c r="W210" s="36"/>
    </row>
    <row r="211" ht="15.75" customHeight="1">
      <c r="P211" s="36"/>
      <c r="Q211" s="36"/>
      <c r="R211" s="36"/>
      <c r="S211" s="36"/>
      <c r="T211" s="36"/>
      <c r="U211" s="36"/>
      <c r="V211" s="36"/>
      <c r="W211" s="36"/>
    </row>
    <row r="212" ht="15.75" customHeight="1">
      <c r="P212" s="36"/>
      <c r="Q212" s="36"/>
      <c r="R212" s="36"/>
      <c r="S212" s="36"/>
      <c r="T212" s="36"/>
      <c r="U212" s="36"/>
      <c r="V212" s="36"/>
      <c r="W212" s="36"/>
    </row>
    <row r="213" ht="15.75" customHeight="1">
      <c r="P213" s="36"/>
      <c r="Q213" s="36"/>
      <c r="R213" s="36"/>
      <c r="S213" s="36"/>
      <c r="T213" s="36"/>
      <c r="U213" s="36"/>
      <c r="V213" s="36"/>
      <c r="W213" s="36"/>
    </row>
    <row r="214" ht="15.75" customHeight="1">
      <c r="P214" s="36"/>
      <c r="Q214" s="36"/>
      <c r="R214" s="36"/>
      <c r="S214" s="36"/>
      <c r="T214" s="36"/>
      <c r="U214" s="36"/>
      <c r="V214" s="36"/>
      <c r="W214" s="36"/>
    </row>
    <row r="215" ht="15.75" customHeight="1">
      <c r="P215" s="36"/>
      <c r="Q215" s="36"/>
      <c r="R215" s="36"/>
      <c r="S215" s="36"/>
      <c r="T215" s="36"/>
      <c r="U215" s="36"/>
      <c r="V215" s="36"/>
      <c r="W215" s="36"/>
    </row>
    <row r="216" ht="15.75" customHeight="1">
      <c r="P216" s="36"/>
      <c r="Q216" s="36"/>
      <c r="R216" s="36"/>
      <c r="S216" s="36"/>
      <c r="T216" s="36"/>
      <c r="U216" s="36"/>
      <c r="V216" s="36"/>
      <c r="W216" s="36"/>
    </row>
    <row r="217" ht="15.75" customHeight="1">
      <c r="P217" s="36"/>
      <c r="Q217" s="36"/>
      <c r="R217" s="36"/>
      <c r="S217" s="36"/>
      <c r="T217" s="36"/>
      <c r="U217" s="36"/>
      <c r="V217" s="36"/>
      <c r="W217" s="36"/>
    </row>
    <row r="218" ht="15.75" customHeight="1">
      <c r="P218" s="36"/>
      <c r="Q218" s="36"/>
      <c r="R218" s="36"/>
      <c r="S218" s="36"/>
      <c r="T218" s="36"/>
      <c r="U218" s="36"/>
      <c r="V218" s="36"/>
      <c r="W218" s="36"/>
    </row>
    <row r="219" ht="15.75" customHeight="1">
      <c r="P219" s="36"/>
      <c r="Q219" s="36"/>
      <c r="R219" s="36"/>
      <c r="S219" s="36"/>
      <c r="T219" s="36"/>
      <c r="U219" s="36"/>
      <c r="V219" s="36"/>
      <c r="W219" s="36"/>
    </row>
    <row r="220" ht="15.75" customHeight="1">
      <c r="P220" s="36"/>
      <c r="Q220" s="36"/>
      <c r="R220" s="36"/>
      <c r="S220" s="36"/>
      <c r="T220" s="36"/>
      <c r="U220" s="36"/>
      <c r="V220" s="36"/>
      <c r="W220" s="36"/>
    </row>
    <row r="221" ht="15.75" customHeight="1">
      <c r="P221" s="36"/>
      <c r="Q221" s="36"/>
      <c r="R221" s="36"/>
      <c r="S221" s="36"/>
      <c r="T221" s="36"/>
      <c r="U221" s="36"/>
      <c r="V221" s="36"/>
      <c r="W221" s="36"/>
    </row>
    <row r="222" ht="15.75" customHeight="1">
      <c r="P222" s="36"/>
      <c r="Q222" s="36"/>
      <c r="R222" s="36"/>
      <c r="S222" s="36"/>
      <c r="T222" s="36"/>
      <c r="U222" s="36"/>
      <c r="V222" s="36"/>
      <c r="W222" s="36"/>
    </row>
    <row r="223" ht="15.75" customHeight="1">
      <c r="P223" s="36"/>
      <c r="Q223" s="36"/>
      <c r="R223" s="36"/>
      <c r="S223" s="36"/>
      <c r="T223" s="36"/>
      <c r="U223" s="36"/>
      <c r="V223" s="36"/>
      <c r="W223" s="36"/>
    </row>
    <row r="224" ht="15.75" customHeight="1">
      <c r="P224" s="36"/>
      <c r="Q224" s="36"/>
      <c r="R224" s="36"/>
      <c r="S224" s="36"/>
      <c r="T224" s="36"/>
      <c r="U224" s="36"/>
      <c r="V224" s="36"/>
      <c r="W224" s="36"/>
    </row>
    <row r="225" ht="15.75" customHeight="1">
      <c r="P225" s="36"/>
      <c r="Q225" s="36"/>
      <c r="R225" s="36"/>
      <c r="S225" s="36"/>
      <c r="T225" s="36"/>
      <c r="U225" s="36"/>
      <c r="V225" s="36"/>
      <c r="W225" s="36"/>
    </row>
    <row r="226" ht="15.75" customHeight="1">
      <c r="P226" s="36"/>
      <c r="Q226" s="36"/>
      <c r="R226" s="36"/>
      <c r="S226" s="36"/>
      <c r="T226" s="36"/>
      <c r="U226" s="36"/>
      <c r="V226" s="36"/>
      <c r="W226" s="36"/>
    </row>
    <row r="227" ht="15.75" customHeight="1">
      <c r="P227" s="36"/>
      <c r="Q227" s="36"/>
      <c r="R227" s="36"/>
      <c r="S227" s="36"/>
      <c r="T227" s="36"/>
      <c r="U227" s="36"/>
      <c r="V227" s="36"/>
      <c r="W227" s="36"/>
    </row>
    <row r="228" ht="15.75" customHeight="1">
      <c r="P228" s="36"/>
      <c r="Q228" s="36"/>
      <c r="R228" s="36"/>
      <c r="S228" s="36"/>
      <c r="T228" s="36"/>
      <c r="U228" s="36"/>
      <c r="V228" s="36"/>
      <c r="W228" s="36"/>
    </row>
    <row r="229" ht="15.75" customHeight="1">
      <c r="P229" s="36"/>
      <c r="Q229" s="36"/>
      <c r="R229" s="36"/>
      <c r="S229" s="36"/>
      <c r="T229" s="36"/>
      <c r="U229" s="36"/>
      <c r="V229" s="36"/>
      <c r="W229" s="36"/>
    </row>
    <row r="230" ht="15.75" customHeight="1">
      <c r="P230" s="36"/>
      <c r="Q230" s="36"/>
      <c r="R230" s="36"/>
      <c r="S230" s="36"/>
      <c r="T230" s="36"/>
      <c r="U230" s="36"/>
      <c r="V230" s="36"/>
      <c r="W230" s="36"/>
    </row>
    <row r="231" ht="15.75" customHeight="1">
      <c r="P231" s="36"/>
      <c r="Q231" s="36"/>
      <c r="R231" s="36"/>
      <c r="S231" s="36"/>
      <c r="T231" s="36"/>
      <c r="U231" s="36"/>
      <c r="V231" s="36"/>
      <c r="W231" s="36"/>
    </row>
    <row r="232" ht="15.75" customHeight="1">
      <c r="P232" s="36"/>
      <c r="Q232" s="36"/>
      <c r="R232" s="36"/>
      <c r="S232" s="36"/>
      <c r="T232" s="36"/>
      <c r="U232" s="36"/>
      <c r="V232" s="36"/>
      <c r="W232" s="36"/>
    </row>
    <row r="233" ht="15.75" customHeight="1">
      <c r="P233" s="36"/>
      <c r="Q233" s="36"/>
      <c r="R233" s="36"/>
      <c r="S233" s="36"/>
      <c r="T233" s="36"/>
      <c r="U233" s="36"/>
      <c r="V233" s="36"/>
      <c r="W233" s="36"/>
    </row>
    <row r="234" ht="15.75" customHeight="1">
      <c r="P234" s="36"/>
      <c r="Q234" s="36"/>
      <c r="R234" s="36"/>
      <c r="S234" s="36"/>
      <c r="T234" s="36"/>
      <c r="U234" s="36"/>
      <c r="V234" s="36"/>
      <c r="W234" s="36"/>
    </row>
    <row r="235" ht="15.75" customHeight="1">
      <c r="P235" s="36"/>
      <c r="Q235" s="36"/>
      <c r="R235" s="36"/>
      <c r="S235" s="36"/>
      <c r="T235" s="36"/>
      <c r="U235" s="36"/>
      <c r="V235" s="36"/>
      <c r="W235" s="36"/>
    </row>
    <row r="236" ht="15.75" customHeight="1">
      <c r="P236" s="36"/>
      <c r="Q236" s="36"/>
      <c r="R236" s="36"/>
      <c r="S236" s="36"/>
      <c r="T236" s="36"/>
      <c r="U236" s="36"/>
      <c r="V236" s="36"/>
      <c r="W236" s="36"/>
    </row>
    <row r="237" ht="15.75" customHeight="1">
      <c r="P237" s="36"/>
      <c r="Q237" s="36"/>
      <c r="R237" s="36"/>
      <c r="S237" s="36"/>
      <c r="T237" s="36"/>
      <c r="U237" s="36"/>
      <c r="V237" s="36"/>
      <c r="W237" s="36"/>
    </row>
    <row r="238" ht="15.75" customHeight="1">
      <c r="P238" s="36"/>
      <c r="Q238" s="36"/>
      <c r="R238" s="36"/>
      <c r="S238" s="36"/>
      <c r="T238" s="36"/>
      <c r="U238" s="36"/>
      <c r="V238" s="36"/>
      <c r="W238" s="36"/>
    </row>
    <row r="239" ht="15.75" customHeight="1">
      <c r="P239" s="36"/>
      <c r="Q239" s="36"/>
      <c r="R239" s="36"/>
      <c r="S239" s="36"/>
      <c r="T239" s="36"/>
      <c r="U239" s="36"/>
      <c r="V239" s="36"/>
      <c r="W239" s="36"/>
    </row>
    <row r="240" ht="15.75" customHeight="1">
      <c r="P240" s="36"/>
      <c r="Q240" s="36"/>
      <c r="R240" s="36"/>
      <c r="S240" s="36"/>
      <c r="T240" s="36"/>
      <c r="U240" s="36"/>
      <c r="V240" s="36"/>
      <c r="W240" s="36"/>
    </row>
    <row r="241" ht="15.75" customHeight="1">
      <c r="P241" s="36"/>
      <c r="Q241" s="36"/>
      <c r="R241" s="36"/>
      <c r="S241" s="36"/>
      <c r="T241" s="36"/>
      <c r="U241" s="36"/>
      <c r="V241" s="36"/>
      <c r="W241" s="36"/>
    </row>
    <row r="242" ht="15.75" customHeight="1">
      <c r="P242" s="36"/>
      <c r="Q242" s="36"/>
      <c r="R242" s="36"/>
      <c r="S242" s="36"/>
      <c r="T242" s="36"/>
      <c r="U242" s="36"/>
      <c r="V242" s="36"/>
      <c r="W242" s="3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1"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X1:X4"/>
    <mergeCell ref="Y1:Y4"/>
    <mergeCell ref="Z1:Z4"/>
    <mergeCell ref="AA1:AA4"/>
    <mergeCell ref="AB1:AB4"/>
    <mergeCell ref="AC1:AC4"/>
    <mergeCell ref="AK1:AK4"/>
    <mergeCell ref="AL1:AL4"/>
    <mergeCell ref="AM1:AM4"/>
    <mergeCell ref="AN1:AN4"/>
    <mergeCell ref="AO1:AO4"/>
    <mergeCell ref="AP1:AP4"/>
    <mergeCell ref="AD1:AD4"/>
    <mergeCell ref="AE1:AE4"/>
    <mergeCell ref="AF1:AF4"/>
    <mergeCell ref="AG1:AG4"/>
    <mergeCell ref="AH1:AH4"/>
    <mergeCell ref="AI1:AI4"/>
    <mergeCell ref="AJ1:AJ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7.86"/>
    <col customWidth="1" min="3" max="3" width="4.43"/>
    <col customWidth="1" min="4" max="4" width="5.86"/>
    <col customWidth="1" min="5" max="5" width="10.57"/>
    <col customWidth="1" min="6" max="6" width="2.57"/>
    <col customWidth="1" min="7" max="7" width="9.86"/>
    <col customWidth="1" min="8" max="8" width="7.43"/>
    <col customWidth="1" min="9" max="9" width="10.71"/>
    <col customWidth="1" min="10" max="10" width="12.0"/>
    <col customWidth="1" min="11" max="11" width="15.86"/>
    <col customWidth="1" min="12" max="12" width="9.0"/>
    <col customWidth="1" min="13" max="13" width="7.29"/>
    <col customWidth="1" min="14" max="14" width="6.0"/>
    <col customWidth="1" min="15" max="15" width="9.86"/>
    <col customWidth="1" min="16" max="16" width="2.0"/>
    <col customWidth="1" min="17" max="17" width="3.86"/>
    <col customWidth="1" min="18" max="18" width="12.86"/>
    <col customWidth="1" min="19" max="21" width="9.14"/>
    <col customWidth="1" min="22" max="22" width="19.29"/>
    <col customWidth="1" min="23" max="27" width="9.14"/>
    <col customWidth="1" min="28" max="28" width="6.86"/>
    <col customWidth="1" min="29" max="30" width="9.14"/>
    <col customWidth="1" min="31" max="31" width="16.14"/>
    <col customWidth="1" min="32" max="32" width="8.14"/>
    <col customWidth="1" min="33" max="35" width="9.14"/>
    <col customWidth="1" min="36" max="36" width="7.57"/>
    <col customWidth="1" min="37" max="48" width="9.14"/>
  </cols>
  <sheetData>
    <row r="1">
      <c r="A1" s="37" t="s">
        <v>74</v>
      </c>
      <c r="E1" s="38"/>
      <c r="F1" s="38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</row>
    <row r="2" ht="13.5" customHeight="1">
      <c r="A2" s="39" t="s">
        <v>17</v>
      </c>
      <c r="B2" s="40">
        <v>6000.0</v>
      </c>
      <c r="C2" s="41" t="s">
        <v>75</v>
      </c>
      <c r="D2" s="42">
        <v>1.0</v>
      </c>
      <c r="E2" s="43">
        <f>B2*'COSTOS '!$E5</f>
        <v>21480</v>
      </c>
      <c r="F2" s="43"/>
      <c r="G2" s="39" t="s">
        <v>31</v>
      </c>
      <c r="H2" s="39"/>
      <c r="I2" s="44">
        <f>SUM(B2:B12)</f>
        <v>11340</v>
      </c>
      <c r="J2" s="39"/>
      <c r="K2" s="45" t="s">
        <v>76</v>
      </c>
      <c r="O2" s="38"/>
      <c r="P2" s="38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</row>
    <row r="3" ht="11.25" customHeight="1">
      <c r="A3" s="39" t="s">
        <v>18</v>
      </c>
      <c r="B3" s="39">
        <f>B2*D3</f>
        <v>780</v>
      </c>
      <c r="C3" s="41" t="s">
        <v>75</v>
      </c>
      <c r="D3" s="46">
        <v>0.13</v>
      </c>
      <c r="E3" s="43">
        <f>B3*'COSTOS '!$E6</f>
        <v>3276</v>
      </c>
      <c r="F3" s="43"/>
      <c r="G3" s="39" t="s">
        <v>33</v>
      </c>
      <c r="H3" s="39"/>
      <c r="I3" s="47">
        <v>400.0</v>
      </c>
      <c r="J3" s="39"/>
      <c r="K3" s="39" t="s">
        <v>17</v>
      </c>
      <c r="L3" s="39">
        <v>6000.0</v>
      </c>
      <c r="M3" s="41" t="s">
        <v>75</v>
      </c>
      <c r="N3" s="42">
        <v>1.0</v>
      </c>
      <c r="O3" s="43">
        <f>L3*'COSTOS '!$E6</f>
        <v>25200</v>
      </c>
      <c r="P3" s="43"/>
      <c r="Q3" s="39" t="s">
        <v>31</v>
      </c>
      <c r="R3" s="39"/>
      <c r="S3" s="44">
        <f>SUM(L3:L13)</f>
        <v>13620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</row>
    <row r="4" ht="14.25" customHeight="1">
      <c r="A4" s="39" t="s">
        <v>19</v>
      </c>
      <c r="B4" s="39">
        <f>B2*D4</f>
        <v>360</v>
      </c>
      <c r="C4" s="41" t="s">
        <v>75</v>
      </c>
      <c r="D4" s="46">
        <v>0.06</v>
      </c>
      <c r="E4" s="43">
        <f>B4*'COSTOS '!$E7</f>
        <v>4480</v>
      </c>
      <c r="F4" s="43"/>
      <c r="G4" s="39" t="s">
        <v>36</v>
      </c>
      <c r="H4" s="39"/>
      <c r="I4" s="48">
        <f>I10/36</f>
        <v>36.11111111</v>
      </c>
      <c r="J4" s="44"/>
      <c r="K4" s="39" t="s">
        <v>18</v>
      </c>
      <c r="L4" s="39">
        <f>L3*N4</f>
        <v>3000</v>
      </c>
      <c r="M4" s="41" t="s">
        <v>75</v>
      </c>
      <c r="N4" s="42">
        <v>0.5</v>
      </c>
      <c r="O4" s="43">
        <f>L4*'COSTOS '!$E7</f>
        <v>37333.33333</v>
      </c>
      <c r="P4" s="43"/>
      <c r="Q4" s="39" t="s">
        <v>33</v>
      </c>
      <c r="R4" s="39"/>
      <c r="S4" s="47">
        <v>400.0</v>
      </c>
      <c r="T4" s="44"/>
      <c r="U4" s="44"/>
      <c r="V4" s="39"/>
      <c r="W4" s="39"/>
      <c r="X4" s="39"/>
      <c r="Y4" s="39"/>
      <c r="Z4" s="39"/>
      <c r="AA4" s="39"/>
      <c r="AB4" s="39"/>
      <c r="AC4" s="39"/>
      <c r="AD4" s="44"/>
      <c r="AE4" s="39"/>
      <c r="AF4" s="39"/>
      <c r="AG4" s="39"/>
      <c r="AH4" s="39"/>
      <c r="AI4" s="39"/>
      <c r="AJ4" s="39"/>
      <c r="AK4" s="39"/>
      <c r="AL4" s="39"/>
      <c r="AM4" s="44"/>
      <c r="AN4" s="39"/>
      <c r="AO4" s="39"/>
      <c r="AP4" s="39"/>
      <c r="AQ4" s="39"/>
      <c r="AR4" s="39"/>
      <c r="AS4" s="39"/>
      <c r="AT4" s="39"/>
      <c r="AU4" s="44">
        <f>SUM(B249:B255)</f>
        <v>10395</v>
      </c>
      <c r="AV4" s="44"/>
    </row>
    <row r="5" ht="12.75" customHeight="1">
      <c r="A5" s="39" t="s">
        <v>20</v>
      </c>
      <c r="B5" s="39">
        <f>B2*D5</f>
        <v>120</v>
      </c>
      <c r="C5" s="41" t="s">
        <v>75</v>
      </c>
      <c r="D5" s="42">
        <v>0.02</v>
      </c>
      <c r="E5" s="43">
        <f>B5*'COSTOS '!$E8</f>
        <v>225</v>
      </c>
      <c r="F5" s="43"/>
      <c r="G5" s="39" t="s">
        <v>38</v>
      </c>
      <c r="H5" s="39"/>
      <c r="I5" s="44">
        <f>I2/I4</f>
        <v>314.0307692</v>
      </c>
      <c r="J5" s="48"/>
      <c r="K5" s="39" t="s">
        <v>19</v>
      </c>
      <c r="L5" s="39">
        <f>L3*N5</f>
        <v>60</v>
      </c>
      <c r="M5" s="41" t="s">
        <v>75</v>
      </c>
      <c r="N5" s="42">
        <v>0.01</v>
      </c>
      <c r="O5" s="43">
        <f>L5*'COSTOS '!$E8</f>
        <v>112.5</v>
      </c>
      <c r="P5" s="43"/>
      <c r="Q5" s="39" t="s">
        <v>36</v>
      </c>
      <c r="R5" s="39"/>
      <c r="S5" s="48">
        <f>S11/36</f>
        <v>33.33333333</v>
      </c>
      <c r="T5" s="48"/>
      <c r="U5" s="48"/>
      <c r="V5" s="39"/>
      <c r="W5" s="39"/>
      <c r="X5" s="39"/>
      <c r="Y5" s="39"/>
      <c r="Z5" s="39"/>
      <c r="AA5" s="39"/>
      <c r="AB5" s="39"/>
      <c r="AC5" s="39"/>
      <c r="AD5" s="48"/>
      <c r="AE5" s="39"/>
      <c r="AF5" s="39"/>
      <c r="AG5" s="39"/>
      <c r="AH5" s="39"/>
      <c r="AI5" s="39"/>
      <c r="AJ5" s="39"/>
      <c r="AK5" s="39"/>
      <c r="AL5" s="39"/>
      <c r="AM5" s="48"/>
      <c r="AN5" s="39"/>
      <c r="AO5" s="39"/>
      <c r="AP5" s="39"/>
      <c r="AQ5" s="39"/>
      <c r="AR5" s="39"/>
      <c r="AS5" s="39"/>
      <c r="AT5" s="39"/>
      <c r="AU5" s="48">
        <v>1000.0</v>
      </c>
      <c r="AV5" s="48"/>
    </row>
    <row r="6" ht="15.0" customHeight="1">
      <c r="A6" s="39" t="s">
        <v>77</v>
      </c>
      <c r="B6" s="39">
        <f>B2*D6</f>
        <v>1800</v>
      </c>
      <c r="C6" s="41" t="s">
        <v>75</v>
      </c>
      <c r="D6" s="42">
        <v>0.3</v>
      </c>
      <c r="E6" s="43">
        <f>B6*'COSTOS '!$E9</f>
        <v>14400</v>
      </c>
      <c r="F6" s="43"/>
      <c r="G6" s="39" t="s">
        <v>40</v>
      </c>
      <c r="H6" s="39"/>
      <c r="I6" s="44">
        <f>I5*I3</f>
        <v>125612.3077</v>
      </c>
      <c r="J6" s="48">
        <f>I6*43%</f>
        <v>54013.29231</v>
      </c>
      <c r="K6" s="39" t="s">
        <v>20</v>
      </c>
      <c r="L6" s="39">
        <f>L3*N6</f>
        <v>0</v>
      </c>
      <c r="M6" s="41" t="s">
        <v>75</v>
      </c>
      <c r="N6" s="42">
        <v>0.0</v>
      </c>
      <c r="O6" s="43">
        <f>L6*'COSTOS '!$E9</f>
        <v>0</v>
      </c>
      <c r="P6" s="43"/>
      <c r="Q6" s="39" t="s">
        <v>38</v>
      </c>
      <c r="R6" s="39"/>
      <c r="S6" s="44">
        <f>S3/S5</f>
        <v>408.6</v>
      </c>
      <c r="T6" s="48"/>
      <c r="U6" s="48"/>
      <c r="V6" s="39"/>
      <c r="W6" s="39"/>
      <c r="X6" s="39"/>
      <c r="Y6" s="39"/>
      <c r="Z6" s="39"/>
      <c r="AA6" s="39"/>
      <c r="AB6" s="39"/>
      <c r="AC6" s="39"/>
      <c r="AD6" s="48"/>
      <c r="AE6" s="39"/>
      <c r="AF6" s="39"/>
      <c r="AG6" s="39"/>
      <c r="AH6" s="39"/>
      <c r="AI6" s="39"/>
      <c r="AJ6" s="39"/>
      <c r="AK6" s="39"/>
      <c r="AL6" s="39"/>
      <c r="AM6" s="48"/>
      <c r="AN6" s="39"/>
      <c r="AO6" s="39"/>
      <c r="AP6" s="39"/>
      <c r="AQ6" s="39"/>
      <c r="AR6" s="39"/>
      <c r="AS6" s="39"/>
      <c r="AT6" s="39"/>
      <c r="AU6" s="48" t="str">
        <f>#REF!/36</f>
        <v>#REF!</v>
      </c>
      <c r="AV6" s="48"/>
    </row>
    <row r="7" ht="12.0" customHeight="1">
      <c r="A7" s="39" t="s">
        <v>78</v>
      </c>
      <c r="B7" s="39">
        <f>B2*D7</f>
        <v>60</v>
      </c>
      <c r="C7" s="41" t="s">
        <v>75</v>
      </c>
      <c r="D7" s="42">
        <v>0.01</v>
      </c>
      <c r="E7" s="43">
        <f>B7*'COSTOS '!$E10</f>
        <v>480</v>
      </c>
      <c r="F7" s="43"/>
      <c r="G7" s="39" t="s">
        <v>43</v>
      </c>
      <c r="H7" s="39"/>
      <c r="I7" s="48">
        <f>SUM(E2:E12)</f>
        <v>50703.53091</v>
      </c>
      <c r="J7" s="44"/>
      <c r="K7" s="39" t="s">
        <v>77</v>
      </c>
      <c r="L7" s="39">
        <f>L3*N7</f>
        <v>3000</v>
      </c>
      <c r="M7" s="41" t="s">
        <v>75</v>
      </c>
      <c r="N7" s="42">
        <v>0.5</v>
      </c>
      <c r="O7" s="43">
        <f>L7*'COSTOS '!$E10</f>
        <v>24000</v>
      </c>
      <c r="P7" s="43"/>
      <c r="Q7" s="39" t="s">
        <v>40</v>
      </c>
      <c r="R7" s="39"/>
      <c r="S7" s="44">
        <f>S6*S4</f>
        <v>163440</v>
      </c>
      <c r="T7" s="44"/>
      <c r="U7" s="44"/>
      <c r="V7" s="39"/>
      <c r="W7" s="39"/>
      <c r="X7" s="39"/>
      <c r="Y7" s="39"/>
      <c r="Z7" s="39"/>
      <c r="AA7" s="39"/>
      <c r="AB7" s="39"/>
      <c r="AC7" s="39"/>
      <c r="AD7" s="44"/>
      <c r="AE7" s="39"/>
      <c r="AF7" s="39"/>
      <c r="AG7" s="39"/>
      <c r="AH7" s="39"/>
      <c r="AI7" s="39"/>
      <c r="AJ7" s="39"/>
      <c r="AK7" s="39"/>
      <c r="AL7" s="39"/>
      <c r="AM7" s="44"/>
      <c r="AN7" s="39"/>
      <c r="AO7" s="39"/>
      <c r="AP7" s="39"/>
      <c r="AQ7" s="39"/>
      <c r="AR7" s="39"/>
      <c r="AS7" s="39"/>
      <c r="AT7" s="39"/>
      <c r="AU7" s="44" t="str">
        <f>AU4/AU6</f>
        <v>#REF!</v>
      </c>
      <c r="AV7" s="44"/>
    </row>
    <row r="8">
      <c r="A8" s="39" t="s">
        <v>23</v>
      </c>
      <c r="B8" s="39">
        <f>B2*D8</f>
        <v>180</v>
      </c>
      <c r="C8" s="41" t="s">
        <v>75</v>
      </c>
      <c r="D8" s="42">
        <v>0.03</v>
      </c>
      <c r="E8" s="43">
        <f>B8*'COSTOS '!$E11</f>
        <v>1908</v>
      </c>
      <c r="F8" s="43"/>
      <c r="G8" s="39" t="s">
        <v>45</v>
      </c>
      <c r="H8" s="39"/>
      <c r="I8" s="48">
        <v>22000.0</v>
      </c>
      <c r="J8" s="44"/>
      <c r="K8" s="39" t="s">
        <v>78</v>
      </c>
      <c r="L8" s="39">
        <f>L3*N8</f>
        <v>60</v>
      </c>
      <c r="M8" s="41" t="s">
        <v>75</v>
      </c>
      <c r="N8" s="42">
        <v>0.01</v>
      </c>
      <c r="O8" s="43">
        <f>L8*'COSTOS '!$E11</f>
        <v>636</v>
      </c>
      <c r="P8" s="43"/>
      <c r="Q8" s="39" t="s">
        <v>43</v>
      </c>
      <c r="R8" s="39"/>
      <c r="S8" s="48">
        <f>SUM(O3:O13)</f>
        <v>87643.27333</v>
      </c>
      <c r="T8" s="44"/>
      <c r="U8" s="44"/>
      <c r="V8" s="39"/>
      <c r="W8" s="39"/>
      <c r="X8" s="39"/>
      <c r="Y8" s="39"/>
      <c r="Z8" s="39"/>
      <c r="AA8" s="39"/>
      <c r="AB8" s="39"/>
      <c r="AC8" s="39"/>
      <c r="AD8" s="44"/>
      <c r="AE8" s="39"/>
      <c r="AF8" s="39"/>
      <c r="AG8" s="39"/>
      <c r="AH8" s="39"/>
      <c r="AI8" s="39"/>
      <c r="AJ8" s="39"/>
      <c r="AK8" s="39"/>
      <c r="AL8" s="39"/>
      <c r="AM8" s="44"/>
      <c r="AN8" s="39"/>
      <c r="AO8" s="39"/>
      <c r="AP8" s="39"/>
      <c r="AQ8" s="39"/>
      <c r="AR8" s="39"/>
      <c r="AS8" s="39"/>
      <c r="AT8" s="39"/>
      <c r="AU8" s="44" t="str">
        <f>AU7*AU5</f>
        <v>#REF!</v>
      </c>
      <c r="AV8" s="44"/>
    </row>
    <row r="9">
      <c r="A9" s="39" t="s">
        <v>27</v>
      </c>
      <c r="B9" s="39">
        <f>B2*D9</f>
        <v>540</v>
      </c>
      <c r="C9" s="41" t="s">
        <v>75</v>
      </c>
      <c r="D9" s="42">
        <v>0.09</v>
      </c>
      <c r="E9" s="43">
        <f>B9*'COSTOS '!$E15</f>
        <v>3829.090909</v>
      </c>
      <c r="F9" s="43"/>
      <c r="G9" s="39" t="s">
        <v>53</v>
      </c>
      <c r="H9" s="39"/>
      <c r="I9" s="48">
        <f>I6-I7-I8</f>
        <v>52908.77678</v>
      </c>
      <c r="J9" s="48"/>
      <c r="K9" s="39" t="s">
        <v>23</v>
      </c>
      <c r="L9" s="39">
        <f>L3*N9</f>
        <v>0</v>
      </c>
      <c r="M9" s="41" t="s">
        <v>75</v>
      </c>
      <c r="N9" s="42">
        <v>0.0</v>
      </c>
      <c r="O9" s="43">
        <f>L9*'COSTOS '!$E12</f>
        <v>0</v>
      </c>
      <c r="P9" s="43"/>
      <c r="Q9" s="39" t="s">
        <v>45</v>
      </c>
      <c r="R9" s="39"/>
      <c r="S9" s="48">
        <v>22000.0</v>
      </c>
      <c r="T9" s="48"/>
      <c r="U9" s="48"/>
      <c r="V9" s="39"/>
      <c r="W9" s="39"/>
      <c r="X9" s="39"/>
      <c r="Y9" s="39"/>
      <c r="Z9" s="39"/>
      <c r="AA9" s="39"/>
      <c r="AB9" s="39"/>
      <c r="AC9" s="39"/>
      <c r="AD9" s="48"/>
      <c r="AE9" s="39"/>
      <c r="AF9" s="39"/>
      <c r="AG9" s="39"/>
      <c r="AH9" s="39"/>
      <c r="AI9" s="39"/>
      <c r="AJ9" s="39"/>
      <c r="AK9" s="39"/>
      <c r="AL9" s="39"/>
      <c r="AM9" s="48"/>
      <c r="AN9" s="39"/>
      <c r="AO9" s="39"/>
      <c r="AP9" s="39"/>
      <c r="AQ9" s="39"/>
      <c r="AR9" s="39"/>
      <c r="AS9" s="39"/>
      <c r="AT9" s="39"/>
      <c r="AU9" s="48">
        <f>SUM(E249:E255)</f>
        <v>53009.775</v>
      </c>
      <c r="AV9" s="48"/>
    </row>
    <row r="10">
      <c r="A10" s="39" t="s">
        <v>29</v>
      </c>
      <c r="B10" s="39">
        <f>B2*D10</f>
        <v>0</v>
      </c>
      <c r="C10" s="41" t="s">
        <v>75</v>
      </c>
      <c r="D10" s="42">
        <v>0.0</v>
      </c>
      <c r="E10" s="43">
        <f>B10*'COSTOS '!$E17</f>
        <v>0</v>
      </c>
      <c r="F10" s="43"/>
      <c r="G10" s="39" t="s">
        <v>79</v>
      </c>
      <c r="H10" s="39"/>
      <c r="I10" s="49">
        <v>1300.0</v>
      </c>
      <c r="J10" s="48"/>
      <c r="K10" s="39" t="s">
        <v>27</v>
      </c>
      <c r="L10" s="39">
        <f>L3*N10</f>
        <v>0</v>
      </c>
      <c r="M10" s="41" t="s">
        <v>75</v>
      </c>
      <c r="N10" s="42">
        <v>0.0</v>
      </c>
      <c r="O10" s="43">
        <f>L10*'COSTOS '!$E16</f>
        <v>0</v>
      </c>
      <c r="P10" s="43"/>
      <c r="Q10" s="39" t="s">
        <v>53</v>
      </c>
      <c r="R10" s="39"/>
      <c r="S10" s="48">
        <f>S7-S8-S9</f>
        <v>53796.72667</v>
      </c>
      <c r="T10" s="48"/>
      <c r="U10" s="48"/>
      <c r="V10" s="39"/>
      <c r="W10" s="39"/>
      <c r="X10" s="39"/>
      <c r="Y10" s="39"/>
      <c r="Z10" s="39"/>
      <c r="AA10" s="39"/>
      <c r="AB10" s="39"/>
      <c r="AC10" s="39"/>
      <c r="AD10" s="48"/>
      <c r="AE10" s="39"/>
      <c r="AF10" s="39"/>
      <c r="AG10" s="39"/>
      <c r="AH10" s="39"/>
      <c r="AI10" s="39"/>
      <c r="AJ10" s="39"/>
      <c r="AK10" s="39"/>
      <c r="AL10" s="39"/>
      <c r="AM10" s="48"/>
      <c r="AN10" s="39"/>
      <c r="AO10" s="39"/>
      <c r="AP10" s="39"/>
      <c r="AQ10" s="39"/>
      <c r="AR10" s="39"/>
      <c r="AS10" s="39"/>
      <c r="AT10" s="39"/>
      <c r="AU10" s="48">
        <v>8000.0</v>
      </c>
      <c r="AV10" s="48"/>
    </row>
    <row r="11">
      <c r="A11" s="39" t="s">
        <v>32</v>
      </c>
      <c r="B11" s="39">
        <f>B2*D11</f>
        <v>60</v>
      </c>
      <c r="C11" s="41" t="s">
        <v>75</v>
      </c>
      <c r="D11" s="42">
        <v>0.01</v>
      </c>
      <c r="E11" s="43">
        <f>B11*'COSTOS '!$E19</f>
        <v>624</v>
      </c>
      <c r="F11" s="43"/>
      <c r="G11" s="39"/>
      <c r="H11" s="39"/>
      <c r="I11" s="49"/>
      <c r="J11" s="48"/>
      <c r="K11" s="39" t="s">
        <v>29</v>
      </c>
      <c r="L11" s="39">
        <f>L3*N11</f>
        <v>0</v>
      </c>
      <c r="M11" s="41" t="s">
        <v>75</v>
      </c>
      <c r="N11" s="42">
        <v>0.0</v>
      </c>
      <c r="O11" s="43">
        <f>L11*'COSTOS '!$E18</f>
        <v>0</v>
      </c>
      <c r="P11" s="43"/>
      <c r="Q11" s="39" t="s">
        <v>79</v>
      </c>
      <c r="R11" s="39"/>
      <c r="S11" s="49">
        <v>1200.0</v>
      </c>
      <c r="T11" s="48"/>
      <c r="U11" s="48"/>
      <c r="V11" s="39"/>
      <c r="W11" s="39"/>
      <c r="X11" s="39"/>
      <c r="Y11" s="39"/>
      <c r="Z11" s="39"/>
      <c r="AA11" s="39"/>
      <c r="AB11" s="39"/>
      <c r="AC11" s="39"/>
      <c r="AD11" s="48"/>
      <c r="AE11" s="39"/>
      <c r="AF11" s="39"/>
      <c r="AG11" s="39"/>
      <c r="AH11" s="39"/>
      <c r="AI11" s="39"/>
      <c r="AJ11" s="39"/>
      <c r="AK11" s="39"/>
      <c r="AL11" s="39"/>
      <c r="AM11" s="48"/>
      <c r="AN11" s="39"/>
      <c r="AO11" s="39"/>
      <c r="AP11" s="39"/>
      <c r="AQ11" s="39"/>
      <c r="AR11" s="39"/>
      <c r="AS11" s="39"/>
      <c r="AT11" s="39"/>
      <c r="AU11" s="48">
        <v>4000.0</v>
      </c>
      <c r="AV11" s="48"/>
    </row>
    <row r="12">
      <c r="A12" s="39" t="s">
        <v>80</v>
      </c>
      <c r="B12" s="39">
        <f>B2*D12</f>
        <v>1440</v>
      </c>
      <c r="C12" s="41" t="s">
        <v>75</v>
      </c>
      <c r="D12" s="42">
        <v>0.24</v>
      </c>
      <c r="E12" s="43">
        <f>B12*'COSTOS '!$E32</f>
        <v>1.44</v>
      </c>
      <c r="F12" s="43"/>
      <c r="G12" s="39"/>
      <c r="H12" s="39"/>
      <c r="I12" s="48"/>
      <c r="J12" s="48"/>
      <c r="K12" s="39" t="s">
        <v>32</v>
      </c>
      <c r="L12" s="39">
        <f>L3*N12</f>
        <v>60</v>
      </c>
      <c r="M12" s="41" t="s">
        <v>75</v>
      </c>
      <c r="N12" s="42">
        <v>0.01</v>
      </c>
      <c r="O12" s="43">
        <f>L12*'COSTOS '!$E20</f>
        <v>360</v>
      </c>
      <c r="P12" s="43"/>
      <c r="Q12" s="39"/>
      <c r="R12" s="39"/>
      <c r="S12" s="48"/>
      <c r="T12" s="48"/>
      <c r="U12" s="48"/>
      <c r="V12" s="39"/>
      <c r="W12" s="39"/>
      <c r="X12" s="39"/>
      <c r="Y12" s="39"/>
      <c r="Z12" s="39"/>
      <c r="AA12" s="39"/>
      <c r="AB12" s="39"/>
      <c r="AC12" s="39"/>
      <c r="AD12" s="48"/>
      <c r="AE12" s="39"/>
      <c r="AF12" s="39"/>
      <c r="AG12" s="39"/>
      <c r="AH12" s="39"/>
      <c r="AI12" s="39"/>
      <c r="AJ12" s="39"/>
      <c r="AK12" s="39"/>
      <c r="AL12" s="39"/>
      <c r="AM12" s="48"/>
      <c r="AN12" s="39"/>
      <c r="AO12" s="39"/>
      <c r="AP12" s="39"/>
      <c r="AQ12" s="39"/>
      <c r="AR12" s="39"/>
      <c r="AS12" s="39"/>
      <c r="AT12" s="39"/>
      <c r="AU12" s="48">
        <v>2000.0</v>
      </c>
      <c r="AV12" s="48"/>
    </row>
    <row r="13">
      <c r="A13" s="39"/>
      <c r="B13" s="39"/>
      <c r="C13" s="41"/>
      <c r="D13" s="42"/>
      <c r="E13" s="43"/>
      <c r="F13" s="43"/>
      <c r="G13" s="39"/>
      <c r="H13" s="39"/>
      <c r="I13" s="48"/>
      <c r="J13" s="48"/>
      <c r="K13" s="39" t="s">
        <v>81</v>
      </c>
      <c r="L13" s="39">
        <f>L3*N13</f>
        <v>1440</v>
      </c>
      <c r="M13" s="41" t="s">
        <v>75</v>
      </c>
      <c r="N13" s="42">
        <v>0.24</v>
      </c>
      <c r="O13" s="43">
        <f>L13*'COSTOS '!E32</f>
        <v>1.44</v>
      </c>
      <c r="P13" s="43"/>
      <c r="Q13" s="39"/>
      <c r="R13" s="39"/>
      <c r="S13" s="48"/>
      <c r="T13" s="48"/>
      <c r="U13" s="48"/>
      <c r="V13" s="39"/>
      <c r="W13" s="39"/>
      <c r="X13" s="39"/>
      <c r="Y13" s="39"/>
      <c r="Z13" s="39"/>
      <c r="AA13" s="39"/>
      <c r="AB13" s="39"/>
      <c r="AC13" s="39"/>
      <c r="AD13" s="48"/>
      <c r="AE13" s="39"/>
      <c r="AF13" s="39"/>
      <c r="AG13" s="39"/>
      <c r="AH13" s="39"/>
      <c r="AI13" s="39"/>
      <c r="AJ13" s="39"/>
      <c r="AK13" s="39"/>
      <c r="AL13" s="39"/>
      <c r="AM13" s="48"/>
      <c r="AN13" s="39"/>
      <c r="AO13" s="39"/>
      <c r="AP13" s="39"/>
      <c r="AQ13" s="39"/>
      <c r="AR13" s="39"/>
      <c r="AS13" s="39"/>
      <c r="AT13" s="39"/>
      <c r="AU13" s="48">
        <v>8000.0</v>
      </c>
      <c r="AV13" s="48"/>
    </row>
    <row r="14">
      <c r="A14" s="39"/>
      <c r="B14" s="39"/>
      <c r="C14" s="41"/>
      <c r="D14" s="42"/>
      <c r="E14" s="43"/>
      <c r="F14" s="43"/>
      <c r="G14" s="48"/>
      <c r="H14" s="36"/>
      <c r="I14" s="39"/>
      <c r="J14" s="48"/>
      <c r="K14" s="39"/>
      <c r="L14" s="39"/>
      <c r="M14" s="41"/>
      <c r="N14" s="42"/>
      <c r="O14" s="43"/>
      <c r="P14" s="43"/>
      <c r="Q14" s="39"/>
      <c r="R14" s="39"/>
      <c r="S14" s="48"/>
      <c r="T14" s="48"/>
      <c r="U14" s="48"/>
      <c r="V14" s="39"/>
      <c r="W14" s="39"/>
      <c r="X14" s="39"/>
      <c r="Y14" s="39"/>
      <c r="Z14" s="39"/>
      <c r="AA14" s="39"/>
      <c r="AB14" s="39"/>
      <c r="AC14" s="39"/>
      <c r="AD14" s="48"/>
      <c r="AE14" s="39"/>
      <c r="AF14" s="39"/>
      <c r="AG14" s="39"/>
      <c r="AH14" s="39"/>
      <c r="AI14" s="39"/>
      <c r="AJ14" s="39"/>
      <c r="AK14" s="39"/>
      <c r="AL14" s="39"/>
      <c r="AM14" s="48"/>
      <c r="AN14" s="39"/>
      <c r="AO14" s="39"/>
      <c r="AP14" s="39"/>
      <c r="AQ14" s="39"/>
      <c r="AR14" s="39"/>
      <c r="AS14" s="39"/>
      <c r="AT14" s="39"/>
      <c r="AU14" s="48" t="str">
        <f>AU8-AU9-AU10-AU11-AU12-AU13</f>
        <v>#REF!</v>
      </c>
      <c r="AV14" s="48"/>
    </row>
    <row r="15">
      <c r="A15" s="37" t="s">
        <v>82</v>
      </c>
      <c r="E15" s="38"/>
      <c r="F15" s="38"/>
      <c r="G15" s="39"/>
      <c r="H15" s="39"/>
      <c r="I15" s="39"/>
      <c r="J15" s="39"/>
      <c r="K15" s="45" t="s">
        <v>83</v>
      </c>
      <c r="O15" s="38"/>
      <c r="P15" s="38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41"/>
      <c r="AQ15" s="42"/>
      <c r="AR15" s="43"/>
      <c r="AS15" s="39"/>
      <c r="AT15" s="39"/>
      <c r="AU15" s="39"/>
      <c r="AV15" s="39"/>
    </row>
    <row r="16">
      <c r="A16" s="39" t="s">
        <v>17</v>
      </c>
      <c r="B16" s="40">
        <v>6500.0</v>
      </c>
      <c r="C16" s="41" t="s">
        <v>75</v>
      </c>
      <c r="D16" s="42">
        <v>1.0</v>
      </c>
      <c r="E16" s="43">
        <f>B16*'COSTOS '!$E5</f>
        <v>23270</v>
      </c>
      <c r="F16" s="43"/>
      <c r="G16" s="39" t="s">
        <v>31</v>
      </c>
      <c r="H16" s="39"/>
      <c r="I16" s="44">
        <f>SUM(B16:B27)</f>
        <v>12285</v>
      </c>
      <c r="J16" s="39"/>
      <c r="K16" s="39" t="s">
        <v>17</v>
      </c>
      <c r="L16" s="39">
        <v>2250.0</v>
      </c>
      <c r="M16" s="41" t="s">
        <v>75</v>
      </c>
      <c r="N16" s="42">
        <v>1.0</v>
      </c>
      <c r="O16" s="43">
        <f>L16*'COSTOS '!$E5</f>
        <v>8055</v>
      </c>
      <c r="P16" s="43"/>
      <c r="Q16" s="39" t="s">
        <v>31</v>
      </c>
      <c r="R16" s="39"/>
      <c r="S16" s="44">
        <f>SUM(L16:L27)</f>
        <v>8865</v>
      </c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41"/>
      <c r="AQ16" s="42"/>
      <c r="AR16" s="43"/>
      <c r="AS16" s="39"/>
      <c r="AT16" s="39"/>
      <c r="AU16" s="39"/>
      <c r="AV16" s="39"/>
    </row>
    <row r="17">
      <c r="A17" s="39" t="s">
        <v>18</v>
      </c>
      <c r="B17" s="39">
        <f>B16*D17</f>
        <v>1235</v>
      </c>
      <c r="C17" s="41" t="s">
        <v>75</v>
      </c>
      <c r="D17" s="42">
        <v>0.19</v>
      </c>
      <c r="E17" s="43">
        <f>B17*'COSTOS '!$E6</f>
        <v>5187</v>
      </c>
      <c r="F17" s="43"/>
      <c r="G17" s="39" t="s">
        <v>33</v>
      </c>
      <c r="H17" s="39"/>
      <c r="I17" s="49">
        <v>1000.0</v>
      </c>
      <c r="J17" s="39"/>
      <c r="K17" s="39" t="s">
        <v>18</v>
      </c>
      <c r="L17" s="39">
        <f>L16*N17</f>
        <v>2250</v>
      </c>
      <c r="M17" s="41" t="s">
        <v>75</v>
      </c>
      <c r="N17" s="42">
        <v>1.0</v>
      </c>
      <c r="O17" s="43">
        <f>L17*'COSTOS '!$E6</f>
        <v>9450</v>
      </c>
      <c r="P17" s="43"/>
      <c r="Q17" s="39" t="s">
        <v>33</v>
      </c>
      <c r="R17" s="39"/>
      <c r="S17" s="49">
        <v>2000.0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41"/>
      <c r="AQ17" s="42"/>
      <c r="AR17" s="43"/>
      <c r="AS17" s="39"/>
      <c r="AT17" s="39"/>
      <c r="AU17" s="39"/>
      <c r="AV17" s="39"/>
    </row>
    <row r="18">
      <c r="A18" s="39" t="s">
        <v>19</v>
      </c>
      <c r="B18" s="39">
        <f>B16*D18</f>
        <v>780</v>
      </c>
      <c r="C18" s="41" t="s">
        <v>75</v>
      </c>
      <c r="D18" s="42">
        <v>0.12</v>
      </c>
      <c r="E18" s="43">
        <f>B18*'COSTOS '!$E7</f>
        <v>9706.666667</v>
      </c>
      <c r="F18" s="43"/>
      <c r="G18" s="39" t="s">
        <v>36</v>
      </c>
      <c r="H18" s="39"/>
      <c r="I18" s="48">
        <f>I24/36</f>
        <v>66.66666667</v>
      </c>
      <c r="J18" s="39"/>
      <c r="K18" s="39" t="s">
        <v>19</v>
      </c>
      <c r="L18" s="39">
        <f>L16*N18</f>
        <v>2025</v>
      </c>
      <c r="M18" s="41" t="s">
        <v>75</v>
      </c>
      <c r="N18" s="42">
        <v>0.9</v>
      </c>
      <c r="O18" s="43">
        <f>L18*'COSTOS '!$E7</f>
        <v>25200</v>
      </c>
      <c r="P18" s="43"/>
      <c r="Q18" s="39" t="s">
        <v>36</v>
      </c>
      <c r="R18" s="39"/>
      <c r="S18" s="48">
        <f>S24/36</f>
        <v>83.33333333</v>
      </c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41"/>
      <c r="AQ18" s="42"/>
      <c r="AR18" s="43"/>
      <c r="AS18" s="39"/>
      <c r="AT18" s="39"/>
      <c r="AU18" s="39"/>
      <c r="AV18" s="39"/>
    </row>
    <row r="19">
      <c r="A19" s="39" t="s">
        <v>20</v>
      </c>
      <c r="B19" s="39">
        <f>B16*D19</f>
        <v>130</v>
      </c>
      <c r="C19" s="41" t="s">
        <v>75</v>
      </c>
      <c r="D19" s="42">
        <v>0.02</v>
      </c>
      <c r="E19" s="43">
        <f>B19*'COSTOS '!$E8</f>
        <v>243.75</v>
      </c>
      <c r="F19" s="43"/>
      <c r="G19" s="39" t="s">
        <v>38</v>
      </c>
      <c r="H19" s="39"/>
      <c r="I19" s="44">
        <f>I16/I18</f>
        <v>184.275</v>
      </c>
      <c r="J19" s="39"/>
      <c r="K19" s="39" t="s">
        <v>20</v>
      </c>
      <c r="L19" s="39">
        <f>L16*N19</f>
        <v>0</v>
      </c>
      <c r="M19" s="41" t="s">
        <v>75</v>
      </c>
      <c r="N19" s="42">
        <v>0.0</v>
      </c>
      <c r="O19" s="43">
        <f>L19*'COSTOS '!$E8</f>
        <v>0</v>
      </c>
      <c r="P19" s="43"/>
      <c r="Q19" s="39" t="s">
        <v>38</v>
      </c>
      <c r="R19" s="39"/>
      <c r="S19" s="44">
        <f>S16/S18</f>
        <v>106.38</v>
      </c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41"/>
      <c r="AQ19" s="42"/>
      <c r="AR19" s="43"/>
      <c r="AS19" s="39"/>
      <c r="AT19" s="39"/>
      <c r="AU19" s="39"/>
      <c r="AV19" s="39"/>
    </row>
    <row r="20">
      <c r="A20" s="39" t="s">
        <v>77</v>
      </c>
      <c r="B20" s="39">
        <f>B16*D20</f>
        <v>2275</v>
      </c>
      <c r="C20" s="41" t="s">
        <v>75</v>
      </c>
      <c r="D20" s="42">
        <v>0.35</v>
      </c>
      <c r="E20" s="43">
        <f>B20*'COSTOS '!$E9</f>
        <v>18200</v>
      </c>
      <c r="F20" s="43"/>
      <c r="G20" s="39" t="s">
        <v>40</v>
      </c>
      <c r="H20" s="39"/>
      <c r="I20" s="44">
        <f>I19*I17</f>
        <v>184275</v>
      </c>
      <c r="J20" s="39"/>
      <c r="K20" s="39" t="s">
        <v>77</v>
      </c>
      <c r="L20" s="39">
        <f>L16*N20</f>
        <v>2250</v>
      </c>
      <c r="M20" s="41" t="s">
        <v>75</v>
      </c>
      <c r="N20" s="42">
        <v>1.0</v>
      </c>
      <c r="O20" s="43">
        <f>L20*'COSTOS '!$E9</f>
        <v>18000</v>
      </c>
      <c r="P20" s="43"/>
      <c r="Q20" s="39" t="s">
        <v>40</v>
      </c>
      <c r="R20" s="39"/>
      <c r="S20" s="44">
        <f>S19*S17</f>
        <v>212760</v>
      </c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41"/>
      <c r="AQ20" s="42"/>
      <c r="AR20" s="43"/>
      <c r="AS20" s="39"/>
      <c r="AT20" s="39"/>
      <c r="AU20" s="39"/>
      <c r="AV20" s="39"/>
    </row>
    <row r="21" ht="15.75" customHeight="1">
      <c r="A21" s="39" t="s">
        <v>84</v>
      </c>
      <c r="B21" s="39">
        <f>B16*D21</f>
        <v>65</v>
      </c>
      <c r="C21" s="41" t="s">
        <v>75</v>
      </c>
      <c r="D21" s="42">
        <v>0.01</v>
      </c>
      <c r="E21" s="43">
        <f>B21*'COSTOS '!$E10</f>
        <v>520</v>
      </c>
      <c r="F21" s="43"/>
      <c r="G21" s="39" t="s">
        <v>43</v>
      </c>
      <c r="H21" s="39"/>
      <c r="I21" s="48">
        <f>SUM(E16:E29)</f>
        <v>74431.39167</v>
      </c>
      <c r="J21" s="39"/>
      <c r="K21" s="39" t="s">
        <v>84</v>
      </c>
      <c r="L21" s="39">
        <f>L16*N21</f>
        <v>67.5</v>
      </c>
      <c r="M21" s="41" t="s">
        <v>75</v>
      </c>
      <c r="N21" s="42">
        <v>0.03</v>
      </c>
      <c r="O21" s="43">
        <f>L21*'COSTOS '!$E10</f>
        <v>540</v>
      </c>
      <c r="P21" s="43"/>
      <c r="Q21" s="39" t="s">
        <v>43</v>
      </c>
      <c r="R21" s="39"/>
      <c r="S21" s="48">
        <f>SUM(O16:O29)</f>
        <v>67509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1"/>
      <c r="AQ21" s="42"/>
      <c r="AR21" s="43"/>
      <c r="AS21" s="39"/>
      <c r="AT21" s="39"/>
      <c r="AU21" s="39"/>
      <c r="AV21" s="39"/>
    </row>
    <row r="22" ht="15.75" customHeight="1">
      <c r="A22" s="39" t="s">
        <v>23</v>
      </c>
      <c r="B22" s="39">
        <f>B16*D22</f>
        <v>130</v>
      </c>
      <c r="C22" s="41" t="s">
        <v>75</v>
      </c>
      <c r="D22" s="42">
        <v>0.02</v>
      </c>
      <c r="E22" s="43">
        <f>B22*'COSTOS '!$E11</f>
        <v>1378</v>
      </c>
      <c r="F22" s="43"/>
      <c r="G22" s="39" t="s">
        <v>45</v>
      </c>
      <c r="H22" s="39"/>
      <c r="I22" s="48">
        <v>22000.0</v>
      </c>
      <c r="J22" s="39"/>
      <c r="K22" s="39" t="s">
        <v>23</v>
      </c>
      <c r="L22" s="39">
        <f>L16*N22</f>
        <v>0</v>
      </c>
      <c r="M22" s="41" t="s">
        <v>75</v>
      </c>
      <c r="N22" s="42">
        <v>0.0</v>
      </c>
      <c r="O22" s="43">
        <f>L22*'COSTOS '!$E11</f>
        <v>0</v>
      </c>
      <c r="P22" s="43"/>
      <c r="Q22" s="39" t="s">
        <v>45</v>
      </c>
      <c r="R22" s="39"/>
      <c r="S22" s="48">
        <v>22000.0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41"/>
      <c r="AQ22" s="42"/>
      <c r="AR22" s="43"/>
      <c r="AS22" s="39"/>
      <c r="AT22" s="39"/>
      <c r="AU22" s="39"/>
      <c r="AV22" s="39"/>
    </row>
    <row r="23" ht="15.75" customHeight="1">
      <c r="A23" s="39" t="s">
        <v>25</v>
      </c>
      <c r="B23" s="39">
        <f>B16*D23</f>
        <v>0</v>
      </c>
      <c r="C23" s="41" t="s">
        <v>75</v>
      </c>
      <c r="D23" s="42">
        <v>0.0</v>
      </c>
      <c r="E23" s="43">
        <f>B23*'COSTOS '!$E13</f>
        <v>0</v>
      </c>
      <c r="F23" s="43"/>
      <c r="G23" s="39" t="s">
        <v>53</v>
      </c>
      <c r="H23" s="39"/>
      <c r="I23" s="48">
        <f>I20-I21-I22</f>
        <v>87843.60833</v>
      </c>
      <c r="J23" s="39"/>
      <c r="K23" s="39" t="s">
        <v>25</v>
      </c>
      <c r="L23" s="39">
        <f>L16*N23</f>
        <v>0</v>
      </c>
      <c r="M23" s="41" t="s">
        <v>75</v>
      </c>
      <c r="N23" s="42">
        <v>0.0</v>
      </c>
      <c r="O23" s="43">
        <f>L23*'COSTOS '!$E13</f>
        <v>0</v>
      </c>
      <c r="P23" s="43"/>
      <c r="Q23" s="39" t="s">
        <v>53</v>
      </c>
      <c r="R23" s="39"/>
      <c r="S23" s="48">
        <f>S20-S21-S22</f>
        <v>123251</v>
      </c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41"/>
      <c r="AQ23" s="42"/>
      <c r="AR23" s="43"/>
      <c r="AS23" s="39"/>
      <c r="AT23" s="39"/>
      <c r="AU23" s="39"/>
      <c r="AV23" s="39"/>
    </row>
    <row r="24" ht="15.75" customHeight="1">
      <c r="A24" s="39" t="s">
        <v>27</v>
      </c>
      <c r="B24" s="39">
        <f>B16*D24</f>
        <v>0</v>
      </c>
      <c r="C24" s="41" t="s">
        <v>75</v>
      </c>
      <c r="D24" s="42">
        <v>0.0</v>
      </c>
      <c r="E24" s="43">
        <f>B24*'COSTOS '!$E15</f>
        <v>0</v>
      </c>
      <c r="F24" s="43"/>
      <c r="G24" s="39" t="s">
        <v>79</v>
      </c>
      <c r="H24" s="39"/>
      <c r="I24" s="49">
        <v>2400.0</v>
      </c>
      <c r="J24" s="39"/>
      <c r="K24" s="39" t="s">
        <v>27</v>
      </c>
      <c r="L24" s="39">
        <f>L16*N24</f>
        <v>0</v>
      </c>
      <c r="M24" s="41" t="s">
        <v>75</v>
      </c>
      <c r="N24" s="42">
        <v>0.0</v>
      </c>
      <c r="O24" s="43">
        <f>L24*'COSTOS '!$E15</f>
        <v>0</v>
      </c>
      <c r="P24" s="43"/>
      <c r="Q24" s="39" t="s">
        <v>79</v>
      </c>
      <c r="R24" s="39"/>
      <c r="S24" s="48">
        <v>3000.0</v>
      </c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41"/>
      <c r="AQ24" s="42"/>
      <c r="AR24" s="43"/>
      <c r="AS24" s="39"/>
      <c r="AT24" s="39"/>
      <c r="AU24" s="39"/>
      <c r="AV24" s="39"/>
    </row>
    <row r="25" ht="15.75" customHeight="1">
      <c r="A25" s="39" t="s">
        <v>29</v>
      </c>
      <c r="B25" s="39">
        <f>B16*D25</f>
        <v>130</v>
      </c>
      <c r="C25" s="41" t="s">
        <v>75</v>
      </c>
      <c r="D25" s="42">
        <v>0.02</v>
      </c>
      <c r="E25" s="43">
        <f>B25*'COSTOS '!$E17</f>
        <v>2184</v>
      </c>
      <c r="F25" s="43"/>
      <c r="G25" s="39"/>
      <c r="H25" s="39"/>
      <c r="I25" s="39"/>
      <c r="J25" s="39"/>
      <c r="K25" s="39" t="s">
        <v>29</v>
      </c>
      <c r="L25" s="39">
        <f>L16*N25</f>
        <v>0</v>
      </c>
      <c r="M25" s="41" t="s">
        <v>75</v>
      </c>
      <c r="N25" s="42">
        <v>0.0</v>
      </c>
      <c r="O25" s="43">
        <f>L25*'COSTOS '!$E17</f>
        <v>0</v>
      </c>
      <c r="P25" s="43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41"/>
      <c r="AQ25" s="42"/>
      <c r="AR25" s="43"/>
      <c r="AS25" s="39"/>
      <c r="AT25" s="39"/>
      <c r="AU25" s="39"/>
      <c r="AV25" s="39"/>
    </row>
    <row r="26" ht="15.75" customHeight="1">
      <c r="A26" s="39" t="s">
        <v>32</v>
      </c>
      <c r="B26" s="39">
        <f>B16*D26</f>
        <v>65</v>
      </c>
      <c r="C26" s="41" t="s">
        <v>75</v>
      </c>
      <c r="D26" s="42">
        <v>0.01</v>
      </c>
      <c r="E26" s="43">
        <f>B26*'COSTOS '!$E19</f>
        <v>676</v>
      </c>
      <c r="F26" s="43"/>
      <c r="G26" s="39" t="s">
        <v>85</v>
      </c>
      <c r="H26" s="39"/>
      <c r="I26" s="39"/>
      <c r="J26" s="39"/>
      <c r="K26" s="39" t="s">
        <v>32</v>
      </c>
      <c r="L26" s="39">
        <f>L16*N26</f>
        <v>22.5</v>
      </c>
      <c r="M26" s="41" t="s">
        <v>75</v>
      </c>
      <c r="N26" s="42">
        <v>0.01</v>
      </c>
      <c r="O26" s="43">
        <f>L26*'COSTOS '!$E19</f>
        <v>234</v>
      </c>
      <c r="P26" s="43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41"/>
      <c r="AQ26" s="42"/>
      <c r="AR26" s="43"/>
      <c r="AS26" s="39"/>
      <c r="AT26" s="39"/>
      <c r="AU26" s="39"/>
      <c r="AV26" s="39"/>
    </row>
    <row r="27" ht="15.75" customHeight="1">
      <c r="A27" s="39" t="s">
        <v>58</v>
      </c>
      <c r="B27" s="39">
        <f>B16*D27</f>
        <v>975</v>
      </c>
      <c r="C27" s="41" t="s">
        <v>75</v>
      </c>
      <c r="D27" s="42">
        <v>0.15</v>
      </c>
      <c r="E27" s="43">
        <f>B27*'COSTOS '!$E32</f>
        <v>0.975</v>
      </c>
      <c r="F27" s="43"/>
      <c r="G27" s="39"/>
      <c r="H27" s="39"/>
      <c r="I27" s="39"/>
      <c r="J27" s="39"/>
      <c r="K27" s="39" t="s">
        <v>58</v>
      </c>
      <c r="L27" s="39">
        <f>L16*N27</f>
        <v>0</v>
      </c>
      <c r="M27" s="41" t="s">
        <v>75</v>
      </c>
      <c r="N27" s="42">
        <v>0.0</v>
      </c>
      <c r="O27" s="43">
        <f>L27*'COSTOS '!$E32</f>
        <v>0</v>
      </c>
      <c r="P27" s="43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41"/>
      <c r="AQ27" s="42"/>
      <c r="AR27" s="43"/>
      <c r="AS27" s="39"/>
      <c r="AT27" s="39"/>
      <c r="AU27" s="39"/>
      <c r="AV27" s="39"/>
    </row>
    <row r="28" ht="15.75" customHeight="1">
      <c r="A28" s="39" t="s">
        <v>86</v>
      </c>
      <c r="B28" s="39">
        <f>B16*D28</f>
        <v>975</v>
      </c>
      <c r="C28" s="41" t="s">
        <v>75</v>
      </c>
      <c r="D28" s="42">
        <v>0.15</v>
      </c>
      <c r="E28" s="43">
        <f>B28*'COSTOS '!$E36</f>
        <v>13065</v>
      </c>
      <c r="F28" s="43"/>
      <c r="G28" s="39"/>
      <c r="H28" s="39"/>
      <c r="I28" s="39"/>
      <c r="J28" s="39"/>
      <c r="K28" s="39" t="s">
        <v>86</v>
      </c>
      <c r="L28" s="39">
        <f>L16*N28</f>
        <v>450</v>
      </c>
      <c r="M28" s="41" t="s">
        <v>75</v>
      </c>
      <c r="N28" s="42">
        <v>0.2</v>
      </c>
      <c r="O28" s="43">
        <f>L28*'COSTOS '!$E36</f>
        <v>6030</v>
      </c>
      <c r="P28" s="43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41"/>
      <c r="AQ28" s="42"/>
      <c r="AR28" s="43"/>
      <c r="AS28" s="39"/>
      <c r="AT28" s="39"/>
      <c r="AU28" s="39"/>
      <c r="AV28" s="39"/>
    </row>
    <row r="29" ht="12.0" customHeight="1">
      <c r="A29" s="39"/>
      <c r="B29" s="39"/>
      <c r="C29" s="39"/>
      <c r="D29" s="39"/>
      <c r="E29" s="43"/>
      <c r="F29" s="43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 t="s">
        <v>35</v>
      </c>
      <c r="AO29" s="39" t="str">
        <f t="shared" ref="AO29:AO39" si="1">#REF!*AQ29</f>
        <v>#REF!</v>
      </c>
      <c r="AP29" s="41" t="s">
        <v>75</v>
      </c>
      <c r="AQ29" s="42">
        <v>0.0</v>
      </c>
      <c r="AR29" s="43" t="str">
        <f>AO29*'COSTOS '!$E20</f>
        <v>#REF!</v>
      </c>
      <c r="AS29" s="39"/>
      <c r="AT29" s="39"/>
      <c r="AU29" s="39"/>
      <c r="AV29" s="39"/>
    </row>
    <row r="30" ht="11.25" customHeight="1">
      <c r="A30" s="37" t="s">
        <v>87</v>
      </c>
      <c r="E30" s="38"/>
      <c r="F30" s="43"/>
      <c r="G30" s="39"/>
      <c r="H30" s="39"/>
      <c r="I30" s="39"/>
      <c r="J30" s="39"/>
      <c r="K30" s="45" t="s">
        <v>88</v>
      </c>
      <c r="O30" s="38"/>
      <c r="P30" s="3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 t="s">
        <v>37</v>
      </c>
      <c r="AO30" s="39" t="str">
        <f t="shared" si="1"/>
        <v>#REF!</v>
      </c>
      <c r="AP30" s="41" t="s">
        <v>75</v>
      </c>
      <c r="AQ30" s="42">
        <v>0.0</v>
      </c>
      <c r="AR30" s="43" t="str">
        <f>AO30*'COSTOS '!$E21</f>
        <v>#REF!</v>
      </c>
      <c r="AS30" s="39"/>
      <c r="AT30" s="39"/>
      <c r="AU30" s="39"/>
      <c r="AV30" s="39"/>
    </row>
    <row r="31" ht="13.5" customHeight="1">
      <c r="A31" s="39" t="s">
        <v>17</v>
      </c>
      <c r="B31" s="40">
        <v>7000.0</v>
      </c>
      <c r="C31" s="41" t="s">
        <v>75</v>
      </c>
      <c r="D31" s="42">
        <v>1.0</v>
      </c>
      <c r="E31" s="43">
        <f>B31*'COSTOS '!$E5</f>
        <v>25060</v>
      </c>
      <c r="F31" s="43"/>
      <c r="G31" s="39" t="s">
        <v>31</v>
      </c>
      <c r="H31" s="39"/>
      <c r="I31" s="44">
        <f>SUM(B31:B39)</f>
        <v>13790</v>
      </c>
      <c r="J31" s="39"/>
      <c r="K31" s="39" t="s">
        <v>17</v>
      </c>
      <c r="L31" s="39">
        <v>500.0</v>
      </c>
      <c r="M31" s="41" t="s">
        <v>75</v>
      </c>
      <c r="N31" s="42">
        <v>1.0</v>
      </c>
      <c r="O31" s="43">
        <f>L31*'COSTOS '!$E22</f>
        <v>3500</v>
      </c>
      <c r="P31" s="43"/>
      <c r="Q31" s="39" t="s">
        <v>31</v>
      </c>
      <c r="R31" s="39"/>
      <c r="S31" s="44">
        <f>SUM(L31:L44)</f>
        <v>5740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 t="s">
        <v>89</v>
      </c>
      <c r="AO31" s="39" t="str">
        <f t="shared" si="1"/>
        <v>#REF!</v>
      </c>
      <c r="AP31" s="41" t="s">
        <v>75</v>
      </c>
      <c r="AQ31" s="42">
        <v>0.0</v>
      </c>
      <c r="AR31" s="43" t="str">
        <f>AO31*'COSTOS '!$E22</f>
        <v>#REF!</v>
      </c>
      <c r="AS31" s="39"/>
      <c r="AT31" s="39"/>
      <c r="AU31" s="39"/>
      <c r="AV31" s="39"/>
    </row>
    <row r="32" ht="15.75" customHeight="1">
      <c r="A32" s="39" t="s">
        <v>18</v>
      </c>
      <c r="B32" s="39">
        <f>B31*D32</f>
        <v>1400</v>
      </c>
      <c r="C32" s="41" t="s">
        <v>75</v>
      </c>
      <c r="D32" s="42">
        <v>0.2</v>
      </c>
      <c r="E32" s="43">
        <f>B32*'COSTOS '!$E6</f>
        <v>5880</v>
      </c>
      <c r="F32" s="43"/>
      <c r="G32" s="39" t="s">
        <v>33</v>
      </c>
      <c r="H32" s="39"/>
      <c r="I32" s="49">
        <v>400.0</v>
      </c>
      <c r="J32" s="39"/>
      <c r="K32" s="39" t="s">
        <v>18</v>
      </c>
      <c r="L32" s="39">
        <f>L31*N32</f>
        <v>500</v>
      </c>
      <c r="M32" s="41" t="s">
        <v>75</v>
      </c>
      <c r="N32" s="42">
        <v>1.0</v>
      </c>
      <c r="O32" s="43">
        <f>L32*'COSTOS '!$E23</f>
        <v>5400</v>
      </c>
      <c r="P32" s="43"/>
      <c r="Q32" s="39" t="s">
        <v>33</v>
      </c>
      <c r="R32" s="39"/>
      <c r="S32" s="48">
        <v>5000.0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 t="s">
        <v>42</v>
      </c>
      <c r="AO32" s="39" t="str">
        <f t="shared" si="1"/>
        <v>#REF!</v>
      </c>
      <c r="AP32" s="41" t="s">
        <v>75</v>
      </c>
      <c r="AQ32" s="42">
        <v>0.0</v>
      </c>
      <c r="AR32" s="43" t="str">
        <f>AO32*'COSTOS '!$E23</f>
        <v>#REF!</v>
      </c>
      <c r="AS32" s="39"/>
      <c r="AT32" s="39"/>
      <c r="AU32" s="39"/>
      <c r="AV32" s="39"/>
    </row>
    <row r="33" ht="15.75" customHeight="1">
      <c r="A33" s="39" t="s">
        <v>19</v>
      </c>
      <c r="B33" s="39">
        <f>B31*D33</f>
        <v>560</v>
      </c>
      <c r="C33" s="41" t="s">
        <v>75</v>
      </c>
      <c r="D33" s="42">
        <v>0.08</v>
      </c>
      <c r="E33" s="43">
        <f>B33*'COSTOS '!$E7</f>
        <v>6968.888889</v>
      </c>
      <c r="F33" s="43"/>
      <c r="G33" s="39" t="s">
        <v>36</v>
      </c>
      <c r="H33" s="39"/>
      <c r="I33" s="48">
        <f>I39/36</f>
        <v>36.11111111</v>
      </c>
      <c r="J33" s="39"/>
      <c r="K33" s="39" t="s">
        <v>19</v>
      </c>
      <c r="L33" s="39">
        <f>L31*N33</f>
        <v>450</v>
      </c>
      <c r="M33" s="41" t="s">
        <v>75</v>
      </c>
      <c r="N33" s="42">
        <v>0.9</v>
      </c>
      <c r="O33" s="43">
        <f>L33*'COSTOS '!$E24</f>
        <v>4455</v>
      </c>
      <c r="P33" s="43"/>
      <c r="Q33" s="39" t="s">
        <v>36</v>
      </c>
      <c r="R33" s="39"/>
      <c r="S33" s="48">
        <f>S39/36</f>
        <v>416.6666667</v>
      </c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 t="s">
        <v>44</v>
      </c>
      <c r="AO33" s="39" t="str">
        <f t="shared" si="1"/>
        <v>#REF!</v>
      </c>
      <c r="AP33" s="41" t="s">
        <v>75</v>
      </c>
      <c r="AQ33" s="42">
        <v>0.0</v>
      </c>
      <c r="AR33" s="43" t="str">
        <f>AO33*'COSTOS '!$E24</f>
        <v>#REF!</v>
      </c>
      <c r="AS33" s="39"/>
      <c r="AT33" s="39"/>
      <c r="AU33" s="39"/>
      <c r="AV33" s="39"/>
    </row>
    <row r="34" ht="15.75" customHeight="1">
      <c r="A34" s="39" t="s">
        <v>20</v>
      </c>
      <c r="B34" s="39">
        <f>B31*D34</f>
        <v>140</v>
      </c>
      <c r="C34" s="41" t="s">
        <v>75</v>
      </c>
      <c r="D34" s="42">
        <v>0.02</v>
      </c>
      <c r="E34" s="43">
        <f>B34*'COSTOS '!$E8</f>
        <v>262.5</v>
      </c>
      <c r="F34" s="43"/>
      <c r="G34" s="39" t="s">
        <v>38</v>
      </c>
      <c r="H34" s="39"/>
      <c r="I34" s="44">
        <f>I31/I33</f>
        <v>381.8769231</v>
      </c>
      <c r="J34" s="39"/>
      <c r="K34" s="39" t="s">
        <v>32</v>
      </c>
      <c r="L34" s="39">
        <f>L31*N34</f>
        <v>10</v>
      </c>
      <c r="M34" s="41" t="s">
        <v>75</v>
      </c>
      <c r="N34" s="42">
        <v>0.02</v>
      </c>
      <c r="O34" s="43">
        <f>L34*'COSTOS '!$E36</f>
        <v>134</v>
      </c>
      <c r="P34" s="43"/>
      <c r="Q34" s="39" t="s">
        <v>38</v>
      </c>
      <c r="R34" s="39"/>
      <c r="S34" s="44">
        <f>S31/S33</f>
        <v>13.776</v>
      </c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 t="s">
        <v>46</v>
      </c>
      <c r="AO34" s="39" t="str">
        <f t="shared" si="1"/>
        <v>#REF!</v>
      </c>
      <c r="AP34" s="41" t="s">
        <v>75</v>
      </c>
      <c r="AQ34" s="42">
        <v>0.0</v>
      </c>
      <c r="AR34" s="43" t="str">
        <f>AO34*'COSTOS '!$E25</f>
        <v>#REF!</v>
      </c>
      <c r="AS34" s="39"/>
      <c r="AT34" s="39"/>
      <c r="AU34" s="39"/>
      <c r="AV34" s="39"/>
    </row>
    <row r="35" ht="12.0" customHeight="1">
      <c r="A35" s="39" t="s">
        <v>77</v>
      </c>
      <c r="B35" s="39">
        <f>B31*D35</f>
        <v>1960</v>
      </c>
      <c r="C35" s="41" t="s">
        <v>75</v>
      </c>
      <c r="D35" s="42">
        <v>0.28</v>
      </c>
      <c r="E35" s="43">
        <f>B35*'COSTOS '!$E9</f>
        <v>15680</v>
      </c>
      <c r="F35" s="43"/>
      <c r="G35" s="39" t="s">
        <v>40</v>
      </c>
      <c r="H35" s="39"/>
      <c r="I35" s="44">
        <f>I34*I32</f>
        <v>152750.7692</v>
      </c>
      <c r="J35" s="39"/>
      <c r="K35" s="39" t="s">
        <v>84</v>
      </c>
      <c r="L35" s="39">
        <f>L31*N35</f>
        <v>15</v>
      </c>
      <c r="M35" s="41" t="s">
        <v>75</v>
      </c>
      <c r="N35" s="42">
        <v>0.03</v>
      </c>
      <c r="O35" s="43">
        <f>L35*'COSTOS '!$E27</f>
        <v>372</v>
      </c>
      <c r="P35" s="43"/>
      <c r="Q35" s="39" t="s">
        <v>40</v>
      </c>
      <c r="R35" s="39"/>
      <c r="S35" s="44">
        <f>S34*S32</f>
        <v>68880</v>
      </c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 t="s">
        <v>48</v>
      </c>
      <c r="AO35" s="39" t="str">
        <f t="shared" si="1"/>
        <v>#REF!</v>
      </c>
      <c r="AP35" s="41" t="s">
        <v>75</v>
      </c>
      <c r="AQ35" s="42">
        <v>0.0</v>
      </c>
      <c r="AR35" s="43" t="str">
        <f>AO35*'COSTOS '!$E26</f>
        <v>#REF!</v>
      </c>
      <c r="AS35" s="39"/>
      <c r="AT35" s="39"/>
      <c r="AU35" s="39"/>
      <c r="AV35" s="39"/>
    </row>
    <row r="36" ht="15.75" customHeight="1">
      <c r="A36" s="39" t="s">
        <v>90</v>
      </c>
      <c r="B36" s="39">
        <f>B31*D36</f>
        <v>140</v>
      </c>
      <c r="C36" s="41" t="s">
        <v>75</v>
      </c>
      <c r="D36" s="42">
        <v>0.02</v>
      </c>
      <c r="E36" s="43">
        <f>B36*'COSTOS '!$E10</f>
        <v>1120</v>
      </c>
      <c r="F36" s="43"/>
      <c r="G36" s="39" t="s">
        <v>43</v>
      </c>
      <c r="H36" s="39"/>
      <c r="I36" s="48">
        <f>SUM(E31:E39)</f>
        <v>61035.48889</v>
      </c>
      <c r="J36" s="39"/>
      <c r="L36" s="50" t="s">
        <v>91</v>
      </c>
      <c r="P36" s="43"/>
      <c r="Q36" s="39" t="s">
        <v>43</v>
      </c>
      <c r="R36" s="39"/>
      <c r="S36" s="48">
        <f>SUM(O31:O46)</f>
        <v>38224.66667</v>
      </c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 t="s">
        <v>50</v>
      </c>
      <c r="AO36" s="39" t="str">
        <f t="shared" si="1"/>
        <v>#REF!</v>
      </c>
      <c r="AP36" s="41" t="s">
        <v>75</v>
      </c>
      <c r="AQ36" s="42">
        <v>0.0</v>
      </c>
      <c r="AR36" s="43" t="str">
        <f>AO36*'COSTOS '!$E27</f>
        <v>#REF!</v>
      </c>
      <c r="AS36" s="39"/>
      <c r="AT36" s="39"/>
      <c r="AU36" s="39"/>
      <c r="AV36" s="39"/>
    </row>
    <row r="37" ht="15.75" customHeight="1">
      <c r="A37" s="39" t="s">
        <v>23</v>
      </c>
      <c r="B37" s="39">
        <f>B31*D37</f>
        <v>350</v>
      </c>
      <c r="C37" s="41" t="s">
        <v>75</v>
      </c>
      <c r="D37" s="42">
        <v>0.05</v>
      </c>
      <c r="E37" s="43">
        <f>B37*'COSTOS '!$E11</f>
        <v>3710</v>
      </c>
      <c r="F37" s="43"/>
      <c r="G37" s="39" t="s">
        <v>45</v>
      </c>
      <c r="H37" s="39"/>
      <c r="I37" s="48">
        <v>22000.0</v>
      </c>
      <c r="J37" s="39"/>
      <c r="K37" s="39" t="s">
        <v>92</v>
      </c>
      <c r="L37" s="39">
        <f>L31*N37</f>
        <v>450</v>
      </c>
      <c r="M37" s="41" t="s">
        <v>75</v>
      </c>
      <c r="N37" s="42">
        <v>0.9</v>
      </c>
      <c r="O37" s="43">
        <f>L37*'COSTOS '!E17</f>
        <v>7560</v>
      </c>
      <c r="P37" s="43"/>
      <c r="Q37" s="39" t="s">
        <v>45</v>
      </c>
      <c r="R37" s="39"/>
      <c r="S37" s="48">
        <v>22000.0</v>
      </c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 t="s">
        <v>52</v>
      </c>
      <c r="AO37" s="39" t="str">
        <f t="shared" si="1"/>
        <v>#REF!</v>
      </c>
      <c r="AP37" s="41" t="s">
        <v>75</v>
      </c>
      <c r="AQ37" s="42">
        <v>0.0</v>
      </c>
      <c r="AR37" s="43" t="str">
        <f>AO37*'COSTOS '!$E28</f>
        <v>#REF!</v>
      </c>
      <c r="AS37" s="39"/>
      <c r="AT37" s="39"/>
      <c r="AU37" s="39"/>
      <c r="AV37" s="39"/>
    </row>
    <row r="38" ht="15.75" customHeight="1">
      <c r="A38" s="39" t="s">
        <v>29</v>
      </c>
      <c r="B38" s="39">
        <f>B31*D38</f>
        <v>140</v>
      </c>
      <c r="C38" s="41" t="s">
        <v>75</v>
      </c>
      <c r="D38" s="42">
        <v>0.02</v>
      </c>
      <c r="E38" s="43">
        <f>B38*'COSTOS '!$E17</f>
        <v>2352</v>
      </c>
      <c r="F38" s="43"/>
      <c r="G38" s="39" t="s">
        <v>53</v>
      </c>
      <c r="H38" s="39"/>
      <c r="I38" s="48">
        <f>I35-I36-I37</f>
        <v>69715.28034</v>
      </c>
      <c r="J38" s="39"/>
      <c r="K38" s="39" t="s">
        <v>93</v>
      </c>
      <c r="L38" s="39">
        <f>L31*N38</f>
        <v>300</v>
      </c>
      <c r="M38" s="41" t="s">
        <v>75</v>
      </c>
      <c r="N38" s="42">
        <v>0.6</v>
      </c>
      <c r="O38" s="43">
        <f>L38*'COSTOS '!$E45</f>
        <v>4800</v>
      </c>
      <c r="P38" s="43"/>
      <c r="Q38" s="39" t="s">
        <v>53</v>
      </c>
      <c r="R38" s="39"/>
      <c r="S38" s="48">
        <f>S35-S36-S37</f>
        <v>8655.333333</v>
      </c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 t="s">
        <v>54</v>
      </c>
      <c r="AO38" s="39" t="str">
        <f t="shared" si="1"/>
        <v>#REF!</v>
      </c>
      <c r="AP38" s="41" t="s">
        <v>75</v>
      </c>
      <c r="AQ38" s="42">
        <v>0.0</v>
      </c>
      <c r="AR38" s="43" t="str">
        <f>AO38*'COSTOS '!$E29</f>
        <v>#REF!</v>
      </c>
      <c r="AS38" s="39"/>
      <c r="AT38" s="39"/>
      <c r="AU38" s="39"/>
      <c r="AV38" s="39"/>
    </row>
    <row r="39" ht="15.75" customHeight="1">
      <c r="A39" s="39" t="s">
        <v>58</v>
      </c>
      <c r="B39" s="39">
        <f>B31*D39</f>
        <v>2100</v>
      </c>
      <c r="C39" s="41" t="s">
        <v>75</v>
      </c>
      <c r="D39" s="42">
        <v>0.3</v>
      </c>
      <c r="E39" s="43">
        <f>B39*'COSTOS '!$E32</f>
        <v>2.1</v>
      </c>
      <c r="F39" s="43"/>
      <c r="G39" s="39" t="s">
        <v>79</v>
      </c>
      <c r="H39" s="39"/>
      <c r="I39" s="49">
        <v>1300.0</v>
      </c>
      <c r="J39" s="39"/>
      <c r="K39" s="39" t="s">
        <v>94</v>
      </c>
      <c r="L39" s="39">
        <f>L31*N39</f>
        <v>300</v>
      </c>
      <c r="M39" s="41" t="s">
        <v>75</v>
      </c>
      <c r="N39" s="42">
        <v>0.6</v>
      </c>
      <c r="O39" s="43">
        <f>L39*'COSTOS '!$E44</f>
        <v>4800</v>
      </c>
      <c r="P39" s="43"/>
      <c r="Q39" s="39" t="s">
        <v>79</v>
      </c>
      <c r="R39" s="39"/>
      <c r="S39" s="48">
        <v>15000.0</v>
      </c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 t="s">
        <v>55</v>
      </c>
      <c r="AO39" s="39" t="str">
        <f t="shared" si="1"/>
        <v>#REF!</v>
      </c>
      <c r="AP39" s="41" t="s">
        <v>75</v>
      </c>
      <c r="AQ39" s="42">
        <v>0.0</v>
      </c>
      <c r="AR39" s="43" t="str">
        <f>AO39*'COSTOS '!$E30</f>
        <v>#REF!</v>
      </c>
      <c r="AS39" s="39"/>
      <c r="AT39" s="39"/>
      <c r="AU39" s="39"/>
      <c r="AV39" s="39"/>
    </row>
    <row r="40" ht="15.75" customHeight="1">
      <c r="A40" s="39"/>
      <c r="B40" s="39"/>
      <c r="C40" s="39"/>
      <c r="D40" s="39"/>
      <c r="E40" s="43"/>
      <c r="F40" s="43"/>
      <c r="G40" s="39"/>
      <c r="H40" s="39"/>
      <c r="I40" s="39"/>
      <c r="J40" s="39"/>
      <c r="K40" s="39" t="s">
        <v>95</v>
      </c>
      <c r="L40" s="39">
        <f>L31*N40</f>
        <v>100</v>
      </c>
      <c r="M40" s="41" t="s">
        <v>75</v>
      </c>
      <c r="N40" s="42">
        <v>0.2</v>
      </c>
      <c r="O40" s="43">
        <f>L40*'COSTOS '!$E23</f>
        <v>1080</v>
      </c>
      <c r="P40" s="43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41"/>
      <c r="AQ40" s="42"/>
      <c r="AR40" s="43"/>
      <c r="AS40" s="39"/>
      <c r="AT40" s="39"/>
      <c r="AU40" s="39"/>
      <c r="AV40" s="39"/>
    </row>
    <row r="41" ht="15.75" customHeight="1">
      <c r="A41" s="45" t="s">
        <v>96</v>
      </c>
      <c r="E41" s="38"/>
      <c r="F41" s="43"/>
      <c r="G41" s="39"/>
      <c r="H41" s="39"/>
      <c r="I41" s="39"/>
      <c r="J41" s="39"/>
      <c r="K41" s="39" t="s">
        <v>97</v>
      </c>
      <c r="L41" s="39">
        <f>L31*N41</f>
        <v>10</v>
      </c>
      <c r="M41" s="41" t="s">
        <v>75</v>
      </c>
      <c r="N41" s="42">
        <v>0.02</v>
      </c>
      <c r="O41" s="43">
        <f>L41*'COSTOS '!$E47</f>
        <v>586.6666667</v>
      </c>
      <c r="P41" s="43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41"/>
      <c r="AQ41" s="42"/>
      <c r="AR41" s="43"/>
      <c r="AS41" s="39"/>
      <c r="AT41" s="39"/>
      <c r="AU41" s="39"/>
      <c r="AV41" s="39"/>
    </row>
    <row r="42" ht="15.75" customHeight="1">
      <c r="A42" s="39" t="str">
        <f>'COSTOS '!B5</f>
        <v>harina</v>
      </c>
      <c r="B42" s="51">
        <v>3500.0</v>
      </c>
      <c r="C42" s="41" t="s">
        <v>75</v>
      </c>
      <c r="D42" s="42">
        <v>1.0</v>
      </c>
      <c r="E42" s="43">
        <f>B42*'COSTOS '!$E5</f>
        <v>12530</v>
      </c>
      <c r="F42" s="43"/>
      <c r="G42" s="39" t="s">
        <v>31</v>
      </c>
      <c r="H42" s="39"/>
      <c r="I42" s="44">
        <f>SUM(B42:B50)-B49</f>
        <v>8155</v>
      </c>
      <c r="J42" s="39"/>
      <c r="K42" s="39" t="s">
        <v>98</v>
      </c>
      <c r="L42" s="39">
        <f>L31*N42</f>
        <v>5</v>
      </c>
      <c r="M42" s="41" t="s">
        <v>75</v>
      </c>
      <c r="N42" s="42">
        <v>0.01</v>
      </c>
      <c r="O42" s="43">
        <f>L42*'COSTOS '!$E27</f>
        <v>124</v>
      </c>
      <c r="P42" s="43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</row>
    <row r="43" ht="15.75" customHeight="1">
      <c r="A43" s="39" t="str">
        <f>'COSTOS '!B6</f>
        <v>azucar</v>
      </c>
      <c r="B43" s="39">
        <f>B42*D43</f>
        <v>1750</v>
      </c>
      <c r="C43" s="41" t="s">
        <v>75</v>
      </c>
      <c r="D43" s="42">
        <v>0.5</v>
      </c>
      <c r="E43" s="43">
        <f>B43*'COSTOS '!$E6</f>
        <v>7350</v>
      </c>
      <c r="F43" s="43"/>
      <c r="G43" s="39" t="s">
        <v>33</v>
      </c>
      <c r="H43" s="39"/>
      <c r="I43" s="48">
        <v>1500.0</v>
      </c>
      <c r="J43" s="39"/>
      <c r="K43" s="39" t="s">
        <v>58</v>
      </c>
      <c r="L43" s="39">
        <v>3000.0</v>
      </c>
      <c r="M43" s="41" t="s">
        <v>75</v>
      </c>
      <c r="N43" s="42">
        <v>0.0</v>
      </c>
      <c r="O43" s="43">
        <f>L43*'COSTOS '!$E32</f>
        <v>3</v>
      </c>
      <c r="P43" s="43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  <row r="44" ht="15.75" customHeight="1">
      <c r="A44" s="39" t="str">
        <f>'COSTOS '!B9</f>
        <v>mantequilla AT</v>
      </c>
      <c r="B44" s="39">
        <f>B42*D44</f>
        <v>595</v>
      </c>
      <c r="C44" s="41" t="s">
        <v>75</v>
      </c>
      <c r="D44" s="42">
        <v>0.17</v>
      </c>
      <c r="E44" s="43">
        <f>B44*'COSTOS '!$E9</f>
        <v>4760</v>
      </c>
      <c r="F44" s="43"/>
      <c r="G44" s="39" t="s">
        <v>36</v>
      </c>
      <c r="H44" s="39"/>
      <c r="I44" s="48">
        <f>I50/36</f>
        <v>36.11111111</v>
      </c>
      <c r="J44" s="39"/>
      <c r="K44" s="39" t="s">
        <v>86</v>
      </c>
      <c r="L44" s="39">
        <f>L31*N44</f>
        <v>100</v>
      </c>
      <c r="M44" s="41" t="s">
        <v>75</v>
      </c>
      <c r="N44" s="42">
        <v>0.2</v>
      </c>
      <c r="O44" s="43">
        <f>L44*'COSTOS '!$E37</f>
        <v>860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</row>
    <row r="45" ht="15.75" customHeight="1">
      <c r="A45" s="39" t="str">
        <f>'COSTOS '!B10</f>
        <v>ecencia </v>
      </c>
      <c r="B45" s="39">
        <f>B42*D45</f>
        <v>35</v>
      </c>
      <c r="C45" s="41" t="s">
        <v>75</v>
      </c>
      <c r="D45" s="42">
        <v>0.01</v>
      </c>
      <c r="E45" s="43">
        <f>B45*'COSTOS '!$E10</f>
        <v>280</v>
      </c>
      <c r="F45" s="43"/>
      <c r="G45" s="39" t="s">
        <v>38</v>
      </c>
      <c r="H45" s="39"/>
      <c r="I45" s="44">
        <f>I42/I44</f>
        <v>225.8307692</v>
      </c>
      <c r="J45" s="44">
        <f>I45/24</f>
        <v>9.409615385</v>
      </c>
      <c r="L45" s="39">
        <f>L31*N45</f>
        <v>500</v>
      </c>
      <c r="M45" s="41" t="s">
        <v>75</v>
      </c>
      <c r="N45" s="42">
        <v>1.0</v>
      </c>
      <c r="O45" s="43">
        <f>L45*'COSTOS '!$E46</f>
        <v>4550</v>
      </c>
      <c r="P45" s="39"/>
      <c r="Q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</row>
    <row r="46" ht="15.75" customHeight="1">
      <c r="A46" s="39" t="str">
        <f>'COSTOS '!B11</f>
        <v>levadura</v>
      </c>
      <c r="B46" s="39">
        <f>B42*D46</f>
        <v>105</v>
      </c>
      <c r="C46" s="41" t="s">
        <v>75</v>
      </c>
      <c r="D46" s="42">
        <v>0.03</v>
      </c>
      <c r="E46" s="43">
        <f>B46*'COSTOS '!$E11</f>
        <v>1113</v>
      </c>
      <c r="F46" s="43"/>
      <c r="G46" s="39" t="s">
        <v>40</v>
      </c>
      <c r="H46" s="39"/>
      <c r="I46" s="44">
        <f>I45*I43</f>
        <v>338746.1538</v>
      </c>
      <c r="J46" s="48"/>
      <c r="K46" s="39"/>
      <c r="L46" s="39"/>
      <c r="M46" s="39"/>
      <c r="N46" s="39"/>
      <c r="O46" s="39"/>
      <c r="T46" s="44"/>
      <c r="U46" s="44"/>
      <c r="V46" s="39"/>
      <c r="W46" s="39"/>
      <c r="X46" s="39"/>
      <c r="Y46" s="39"/>
      <c r="Z46" s="39"/>
      <c r="AA46" s="39"/>
      <c r="AB46" s="39"/>
      <c r="AC46" s="39"/>
      <c r="AD46" s="44"/>
      <c r="AE46" s="39"/>
      <c r="AF46" s="39"/>
      <c r="AG46" s="39"/>
      <c r="AH46" s="39"/>
      <c r="AI46" s="39"/>
      <c r="AJ46" s="39"/>
      <c r="AK46" s="39"/>
      <c r="AL46" s="39"/>
      <c r="AM46" s="44"/>
      <c r="AN46" s="39"/>
      <c r="AO46" s="39"/>
      <c r="AP46" s="39"/>
      <c r="AQ46" s="39"/>
      <c r="AR46" s="39"/>
      <c r="AS46" s="39"/>
      <c r="AT46" s="39"/>
      <c r="AU46" s="39"/>
      <c r="AV46" s="39"/>
    </row>
    <row r="47" ht="15.75" customHeight="1">
      <c r="A47" s="39" t="str">
        <f>'COSTOS '!B13</f>
        <v>color</v>
      </c>
      <c r="B47" s="39">
        <f>B42*D47</f>
        <v>35</v>
      </c>
      <c r="C47" s="41" t="s">
        <v>75</v>
      </c>
      <c r="D47" s="42">
        <v>0.01</v>
      </c>
      <c r="E47" s="43">
        <f>B47*'COSTOS '!$E13</f>
        <v>861</v>
      </c>
      <c r="F47" s="43"/>
      <c r="G47" s="39" t="s">
        <v>43</v>
      </c>
      <c r="H47" s="39"/>
      <c r="I47" s="48">
        <f>SUM(E42:E51)</f>
        <v>78430.1</v>
      </c>
      <c r="J47" s="48"/>
      <c r="K47" s="45" t="s">
        <v>99</v>
      </c>
      <c r="O47" s="38"/>
      <c r="P47" s="38"/>
      <c r="Q47" s="39"/>
      <c r="R47" s="39"/>
      <c r="S47" s="39"/>
      <c r="T47" s="48"/>
      <c r="U47" s="48"/>
      <c r="V47" s="39"/>
      <c r="W47" s="39"/>
      <c r="X47" s="39"/>
      <c r="Y47" s="39"/>
      <c r="Z47" s="39"/>
      <c r="AA47" s="39"/>
      <c r="AB47" s="39"/>
      <c r="AC47" s="39"/>
      <c r="AD47" s="48"/>
      <c r="AE47" s="39"/>
      <c r="AF47" s="39"/>
      <c r="AG47" s="39"/>
      <c r="AH47" s="39"/>
      <c r="AI47" s="39"/>
      <c r="AJ47" s="39"/>
      <c r="AK47" s="39"/>
      <c r="AL47" s="39"/>
      <c r="AM47" s="48"/>
      <c r="AN47" s="39"/>
      <c r="AO47" s="39"/>
      <c r="AP47" s="39"/>
      <c r="AQ47" s="39"/>
      <c r="AR47" s="39"/>
      <c r="AS47" s="39"/>
      <c r="AT47" s="39"/>
      <c r="AU47" s="39"/>
      <c r="AV47" s="39"/>
    </row>
    <row r="48" ht="15.75" customHeight="1">
      <c r="A48" s="39" t="str">
        <f>'COSTOS '!B19</f>
        <v>polvo de horniar</v>
      </c>
      <c r="B48" s="39">
        <f>B42*D48</f>
        <v>35</v>
      </c>
      <c r="C48" s="41" t="s">
        <v>75</v>
      </c>
      <c r="D48" s="42">
        <v>0.01</v>
      </c>
      <c r="E48" s="43">
        <f>B48*'COSTOS '!$E19</f>
        <v>364</v>
      </c>
      <c r="F48" s="43"/>
      <c r="G48" s="39" t="s">
        <v>45</v>
      </c>
      <c r="H48" s="39"/>
      <c r="I48" s="48">
        <v>22000.0</v>
      </c>
      <c r="J48" s="44"/>
      <c r="K48" s="39" t="s">
        <v>100</v>
      </c>
      <c r="L48" s="40">
        <v>3000.0</v>
      </c>
      <c r="M48" s="41" t="s">
        <v>75</v>
      </c>
      <c r="N48" s="42">
        <v>1.0</v>
      </c>
      <c r="O48" s="43">
        <f>L48*'COSTOS '!$E48</f>
        <v>29040</v>
      </c>
      <c r="P48" s="43"/>
      <c r="Q48" s="39" t="s">
        <v>31</v>
      </c>
      <c r="R48" s="39"/>
      <c r="S48" s="44">
        <f>SUM(L48:L57)</f>
        <v>6600</v>
      </c>
      <c r="T48" s="48"/>
      <c r="U48" s="48"/>
      <c r="V48" s="39"/>
      <c r="W48" s="39"/>
      <c r="X48" s="39"/>
      <c r="Y48" s="39"/>
      <c r="Z48" s="39"/>
      <c r="AA48" s="39"/>
      <c r="AB48" s="39"/>
      <c r="AC48" s="39"/>
      <c r="AD48" s="48"/>
      <c r="AE48" s="39"/>
      <c r="AF48" s="39"/>
      <c r="AG48" s="39"/>
      <c r="AH48" s="39"/>
      <c r="AI48" s="39"/>
      <c r="AJ48" s="39"/>
      <c r="AK48" s="39"/>
      <c r="AL48" s="39"/>
      <c r="AM48" s="48"/>
      <c r="AN48" s="39"/>
      <c r="AO48" s="39"/>
      <c r="AP48" s="39"/>
      <c r="AQ48" s="39"/>
      <c r="AR48" s="39"/>
      <c r="AS48" s="39"/>
      <c r="AT48" s="39"/>
      <c r="AU48" s="39"/>
      <c r="AV48" s="39"/>
    </row>
    <row r="49" ht="15.75" customHeight="1">
      <c r="A49" s="39" t="str">
        <f>'COSTOS '!B29</f>
        <v>coco simple </v>
      </c>
      <c r="B49" s="39">
        <f>B42*D49</f>
        <v>1750</v>
      </c>
      <c r="C49" s="41" t="s">
        <v>75</v>
      </c>
      <c r="D49" s="42">
        <v>0.5</v>
      </c>
      <c r="E49" s="43">
        <f>B49*'COSTOS '!$E29</f>
        <v>30450</v>
      </c>
      <c r="F49" s="43"/>
      <c r="G49" s="39" t="s">
        <v>53</v>
      </c>
      <c r="H49" s="39"/>
      <c r="I49" s="48">
        <f>I46-I47-I48</f>
        <v>238316.0538</v>
      </c>
      <c r="J49" s="44"/>
      <c r="K49" s="39" t="s">
        <v>18</v>
      </c>
      <c r="L49" s="39">
        <f>L48*N49</f>
        <v>0</v>
      </c>
      <c r="M49" s="41" t="s">
        <v>75</v>
      </c>
      <c r="N49" s="42">
        <v>0.0</v>
      </c>
      <c r="O49" s="43">
        <f>L49*'COSTOS '!$E38</f>
        <v>0</v>
      </c>
      <c r="P49" s="43"/>
      <c r="Q49" s="39" t="s">
        <v>33</v>
      </c>
      <c r="R49" s="39"/>
      <c r="S49" s="48">
        <v>25000.0</v>
      </c>
      <c r="T49" s="44"/>
      <c r="U49" s="44"/>
      <c r="V49" s="39"/>
      <c r="W49" s="39"/>
      <c r="X49" s="39"/>
      <c r="Y49" s="39"/>
      <c r="Z49" s="39"/>
      <c r="AA49" s="39"/>
      <c r="AB49" s="39"/>
      <c r="AC49" s="39"/>
      <c r="AD49" s="44"/>
      <c r="AE49" s="39"/>
      <c r="AF49" s="39"/>
      <c r="AG49" s="39"/>
      <c r="AH49" s="39"/>
      <c r="AI49" s="39"/>
      <c r="AJ49" s="39"/>
      <c r="AK49" s="39"/>
      <c r="AL49" s="39"/>
      <c r="AM49" s="44"/>
      <c r="AN49" s="39"/>
      <c r="AO49" s="39"/>
      <c r="AP49" s="39"/>
      <c r="AQ49" s="39"/>
      <c r="AR49" s="39"/>
      <c r="AS49" s="39"/>
      <c r="AT49" s="39"/>
      <c r="AU49" s="39"/>
      <c r="AV49" s="39"/>
    </row>
    <row r="50" ht="15.75" customHeight="1">
      <c r="A50" s="39" t="str">
        <f>'COSTOS '!B32</f>
        <v>agua</v>
      </c>
      <c r="B50" s="39">
        <f>B42*D50</f>
        <v>2100</v>
      </c>
      <c r="C50" s="41" t="s">
        <v>75</v>
      </c>
      <c r="D50" s="42">
        <v>0.6</v>
      </c>
      <c r="E50" s="43">
        <f>B50*'COSTOS '!$E32</f>
        <v>2.1</v>
      </c>
      <c r="F50" s="43"/>
      <c r="G50" s="39" t="s">
        <v>79</v>
      </c>
      <c r="H50" s="39"/>
      <c r="I50" s="49">
        <v>1300.0</v>
      </c>
      <c r="J50" s="48"/>
      <c r="K50" s="39" t="s">
        <v>19</v>
      </c>
      <c r="L50" s="39">
        <f>L48*N50</f>
        <v>2400</v>
      </c>
      <c r="M50" s="41" t="s">
        <v>75</v>
      </c>
      <c r="N50" s="46">
        <v>0.8</v>
      </c>
      <c r="O50" s="43">
        <f>L50*'COSTOS '!$E39</f>
        <v>21400</v>
      </c>
      <c r="P50" s="43"/>
      <c r="Q50" s="39" t="s">
        <v>36</v>
      </c>
      <c r="R50" s="39"/>
      <c r="S50" s="48">
        <f>S56/8</f>
        <v>387.5</v>
      </c>
      <c r="T50" s="44"/>
      <c r="U50" s="44"/>
      <c r="V50" s="39"/>
      <c r="W50" s="39"/>
      <c r="X50" s="39"/>
      <c r="Y50" s="39"/>
      <c r="Z50" s="39"/>
      <c r="AA50" s="39"/>
      <c r="AB50" s="39"/>
      <c r="AC50" s="39"/>
      <c r="AD50" s="44"/>
      <c r="AE50" s="39"/>
      <c r="AF50" s="39"/>
      <c r="AG50" s="39"/>
      <c r="AH50" s="39"/>
      <c r="AI50" s="39"/>
      <c r="AJ50" s="39"/>
      <c r="AK50" s="39"/>
      <c r="AL50" s="39"/>
      <c r="AM50" s="44"/>
      <c r="AN50" s="39"/>
      <c r="AO50" s="39"/>
      <c r="AP50" s="39"/>
      <c r="AQ50" s="39"/>
      <c r="AR50" s="39"/>
      <c r="AS50" s="39"/>
      <c r="AT50" s="39"/>
      <c r="AU50" s="39"/>
      <c r="AV50" s="39"/>
    </row>
    <row r="51" ht="15.75" customHeight="1">
      <c r="A51" s="39" t="s">
        <v>101</v>
      </c>
      <c r="B51" s="39">
        <f>B42*D51</f>
        <v>1295</v>
      </c>
      <c r="C51" s="41" t="s">
        <v>75</v>
      </c>
      <c r="D51" s="42">
        <v>0.37</v>
      </c>
      <c r="E51" s="43">
        <f>B51*'COSTOS '!E38</f>
        <v>20720</v>
      </c>
      <c r="F51" s="43"/>
      <c r="G51" s="39"/>
      <c r="H51" s="39"/>
      <c r="I51" s="48"/>
      <c r="J51" s="48"/>
      <c r="K51" s="39" t="s">
        <v>20</v>
      </c>
      <c r="L51" s="39">
        <f>L48*N51</f>
        <v>0</v>
      </c>
      <c r="M51" s="41" t="s">
        <v>75</v>
      </c>
      <c r="N51" s="42">
        <v>0.0</v>
      </c>
      <c r="O51" s="43">
        <f>L51*'COSTOS '!$E40</f>
        <v>0</v>
      </c>
      <c r="P51" s="43"/>
      <c r="Q51" s="40" t="s">
        <v>102</v>
      </c>
      <c r="R51" s="39"/>
      <c r="S51" s="44">
        <f>S48/S50</f>
        <v>17.03225806</v>
      </c>
      <c r="T51" s="48"/>
      <c r="U51" s="48"/>
      <c r="V51" s="39"/>
      <c r="W51" s="39"/>
      <c r="X51" s="39"/>
      <c r="Y51" s="39"/>
      <c r="Z51" s="39"/>
      <c r="AA51" s="39"/>
      <c r="AB51" s="39"/>
      <c r="AC51" s="39"/>
      <c r="AD51" s="48"/>
      <c r="AE51" s="39"/>
      <c r="AF51" s="39"/>
      <c r="AG51" s="39"/>
      <c r="AH51" s="39"/>
      <c r="AI51" s="39"/>
      <c r="AJ51" s="39"/>
      <c r="AK51" s="39"/>
      <c r="AL51" s="39"/>
      <c r="AM51" s="48"/>
      <c r="AN51" s="39"/>
      <c r="AO51" s="39"/>
      <c r="AP51" s="39"/>
      <c r="AQ51" s="39"/>
      <c r="AR51" s="39"/>
      <c r="AS51" s="39"/>
      <c r="AT51" s="39"/>
      <c r="AU51" s="39"/>
      <c r="AV51" s="39"/>
    </row>
    <row r="52" ht="15.75" customHeight="1">
      <c r="A52" s="39"/>
      <c r="B52" s="39"/>
      <c r="C52" s="39"/>
      <c r="D52" s="39"/>
      <c r="E52" s="43"/>
      <c r="F52" s="43"/>
      <c r="G52" s="39"/>
      <c r="H52" s="39"/>
      <c r="I52" s="48"/>
      <c r="J52" s="48"/>
      <c r="K52" s="39" t="s">
        <v>44</v>
      </c>
      <c r="L52" s="39">
        <f>L48*N52</f>
        <v>0</v>
      </c>
      <c r="M52" s="41" t="s">
        <v>75</v>
      </c>
      <c r="N52" s="46">
        <v>0.0</v>
      </c>
      <c r="O52" s="43">
        <f>L52*'COSTOS '!$E49</f>
        <v>0</v>
      </c>
      <c r="P52" s="43"/>
      <c r="Q52" s="39" t="s">
        <v>40</v>
      </c>
      <c r="R52" s="39"/>
      <c r="S52" s="44">
        <f>S51*S49</f>
        <v>425806.4516</v>
      </c>
      <c r="T52" s="48">
        <f>S53/S51</f>
        <v>9860.994318</v>
      </c>
      <c r="U52" s="48"/>
      <c r="V52" s="39"/>
      <c r="W52" s="39"/>
      <c r="X52" s="39"/>
      <c r="Y52" s="39"/>
      <c r="Z52" s="39"/>
      <c r="AA52" s="39"/>
      <c r="AB52" s="39"/>
      <c r="AC52" s="39"/>
      <c r="AD52" s="48"/>
      <c r="AE52" s="39"/>
      <c r="AF52" s="39"/>
      <c r="AG52" s="39"/>
      <c r="AH52" s="39"/>
      <c r="AI52" s="39"/>
      <c r="AJ52" s="39"/>
      <c r="AK52" s="39"/>
      <c r="AL52" s="39"/>
      <c r="AM52" s="48"/>
      <c r="AN52" s="39"/>
      <c r="AO52" s="39"/>
      <c r="AP52" s="39"/>
      <c r="AQ52" s="39"/>
      <c r="AR52" s="39"/>
      <c r="AS52" s="39"/>
      <c r="AT52" s="39"/>
      <c r="AU52" s="39"/>
      <c r="AV52" s="39"/>
    </row>
    <row r="53" ht="15.75" customHeight="1">
      <c r="A53" s="39"/>
      <c r="B53" s="39"/>
      <c r="C53" s="39"/>
      <c r="D53" s="39"/>
      <c r="E53" s="43"/>
      <c r="F53" s="43"/>
      <c r="G53" s="39"/>
      <c r="H53" s="39"/>
      <c r="I53" s="39"/>
      <c r="J53" s="39"/>
      <c r="K53" s="39" t="s">
        <v>103</v>
      </c>
      <c r="L53" s="39">
        <f>L48*N53</f>
        <v>90</v>
      </c>
      <c r="M53" s="41" t="s">
        <v>75</v>
      </c>
      <c r="N53" s="42">
        <v>0.03</v>
      </c>
      <c r="O53" s="43">
        <f>L53*'COSTOS '!$E10</f>
        <v>720</v>
      </c>
      <c r="P53" s="43"/>
      <c r="Q53" s="39" t="s">
        <v>43</v>
      </c>
      <c r="R53" s="39"/>
      <c r="S53" s="48">
        <f>SUM(O48:O61)</f>
        <v>167955</v>
      </c>
      <c r="T53" s="48"/>
      <c r="U53" s="48"/>
      <c r="V53" s="39"/>
      <c r="W53" s="39"/>
      <c r="X53" s="39"/>
      <c r="Y53" s="39"/>
      <c r="Z53" s="39"/>
      <c r="AA53" s="39"/>
      <c r="AB53" s="39"/>
      <c r="AC53" s="39"/>
      <c r="AD53" s="48"/>
      <c r="AE53" s="39"/>
      <c r="AF53" s="39"/>
      <c r="AG53" s="39"/>
      <c r="AH53" s="39"/>
      <c r="AI53" s="39"/>
      <c r="AJ53" s="39"/>
      <c r="AK53" s="39"/>
      <c r="AL53" s="39"/>
      <c r="AM53" s="48"/>
      <c r="AN53" s="39"/>
      <c r="AO53" s="39"/>
      <c r="AP53" s="39"/>
      <c r="AQ53" s="39"/>
      <c r="AR53" s="39"/>
      <c r="AS53" s="39"/>
      <c r="AT53" s="39"/>
      <c r="AU53" s="39"/>
      <c r="AV53" s="39"/>
    </row>
    <row r="54" ht="15.75" customHeight="1">
      <c r="A54" s="45" t="s">
        <v>104</v>
      </c>
      <c r="E54" s="39"/>
      <c r="F54" s="43"/>
      <c r="G54" s="39"/>
      <c r="H54" s="39"/>
      <c r="I54" s="39"/>
      <c r="J54" s="39"/>
      <c r="K54" s="39" t="s">
        <v>23</v>
      </c>
      <c r="L54" s="39">
        <f>L48*N54</f>
        <v>0</v>
      </c>
      <c r="M54" s="41" t="s">
        <v>75</v>
      </c>
      <c r="N54" s="42">
        <v>0.0</v>
      </c>
      <c r="O54" s="43">
        <f>L54*'COSTOS '!$E43</f>
        <v>0</v>
      </c>
      <c r="P54" s="43"/>
      <c r="Q54" s="39" t="s">
        <v>45</v>
      </c>
      <c r="R54" s="39"/>
      <c r="S54" s="48">
        <v>22000.0</v>
      </c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</row>
    <row r="55" ht="15.75" customHeight="1">
      <c r="A55" s="39" t="s">
        <v>17</v>
      </c>
      <c r="B55" s="40">
        <v>6000.0</v>
      </c>
      <c r="C55" s="41" t="s">
        <v>75</v>
      </c>
      <c r="D55" s="42">
        <v>1.0</v>
      </c>
      <c r="E55" s="43">
        <f>B55*'COSTOS '!$E5</f>
        <v>21480</v>
      </c>
      <c r="F55" s="43"/>
      <c r="G55" s="39" t="s">
        <v>31</v>
      </c>
      <c r="H55" s="36"/>
      <c r="I55" s="44">
        <f>SUM(B55:B66)</f>
        <v>11580</v>
      </c>
      <c r="J55" s="39"/>
      <c r="K55" s="39" t="s">
        <v>25</v>
      </c>
      <c r="L55" s="39">
        <f>L48*N55</f>
        <v>0</v>
      </c>
      <c r="M55" s="41" t="s">
        <v>75</v>
      </c>
      <c r="N55" s="42">
        <v>0.0</v>
      </c>
      <c r="O55" s="43">
        <f>L55*'COSTOS '!$E45</f>
        <v>0</v>
      </c>
      <c r="P55" s="43"/>
      <c r="Q55" s="39" t="s">
        <v>53</v>
      </c>
      <c r="R55" s="39"/>
      <c r="S55" s="48">
        <f>S52-S53-S54</f>
        <v>235851.4516</v>
      </c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</row>
    <row r="56" ht="15.75" customHeight="1">
      <c r="A56" s="39" t="s">
        <v>18</v>
      </c>
      <c r="B56" s="39">
        <f>B55*D56</f>
        <v>720</v>
      </c>
      <c r="C56" s="41" t="s">
        <v>75</v>
      </c>
      <c r="D56" s="42">
        <v>0.12</v>
      </c>
      <c r="E56" s="43">
        <f>B56*'COSTOS '!$E6</f>
        <v>3024</v>
      </c>
      <c r="F56" s="43"/>
      <c r="G56" s="39" t="s">
        <v>33</v>
      </c>
      <c r="H56" s="36"/>
      <c r="I56" s="48">
        <v>400.0</v>
      </c>
      <c r="J56" s="39"/>
      <c r="K56" s="39" t="s">
        <v>27</v>
      </c>
      <c r="L56" s="39">
        <f>L48*N56</f>
        <v>210</v>
      </c>
      <c r="M56" s="41" t="s">
        <v>75</v>
      </c>
      <c r="N56" s="46">
        <v>0.07</v>
      </c>
      <c r="O56" s="43">
        <f>L56*'COSTOS '!$E47</f>
        <v>12320</v>
      </c>
      <c r="P56" s="43"/>
      <c r="Q56" s="39" t="s">
        <v>79</v>
      </c>
      <c r="R56" s="39"/>
      <c r="S56" s="49">
        <v>3100.0</v>
      </c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</row>
    <row r="57" ht="15.75" customHeight="1">
      <c r="A57" s="39" t="s">
        <v>19</v>
      </c>
      <c r="B57" s="39">
        <f>B55*D57</f>
        <v>480</v>
      </c>
      <c r="C57" s="41" t="s">
        <v>75</v>
      </c>
      <c r="D57" s="42">
        <v>0.08</v>
      </c>
      <c r="E57" s="43">
        <f>B57*'COSTOS '!$E7</f>
        <v>5973.333333</v>
      </c>
      <c r="F57" s="43"/>
      <c r="G57" s="39" t="s">
        <v>36</v>
      </c>
      <c r="H57" s="36"/>
      <c r="I57" s="48">
        <f>I63/36</f>
        <v>36.11111111</v>
      </c>
      <c r="J57" s="39"/>
      <c r="K57" s="39" t="s">
        <v>58</v>
      </c>
      <c r="L57" s="39">
        <f>L48*N57</f>
        <v>900</v>
      </c>
      <c r="M57" s="41" t="s">
        <v>75</v>
      </c>
      <c r="N57" s="46">
        <v>0.3</v>
      </c>
      <c r="O57" s="43">
        <f>L57*'COSTOS '!$E64</f>
        <v>0</v>
      </c>
      <c r="P57" s="43"/>
      <c r="Q57" s="39"/>
      <c r="R57" s="39"/>
      <c r="S57" s="40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</row>
    <row r="58" ht="15.75" customHeight="1">
      <c r="A58" s="39" t="s">
        <v>20</v>
      </c>
      <c r="B58" s="39">
        <f>B55*D58</f>
        <v>120</v>
      </c>
      <c r="C58" s="41" t="s">
        <v>75</v>
      </c>
      <c r="D58" s="42">
        <v>0.02</v>
      </c>
      <c r="E58" s="43">
        <f>B58*'COSTOS '!$E8</f>
        <v>225</v>
      </c>
      <c r="F58" s="43"/>
      <c r="G58" s="39" t="s">
        <v>38</v>
      </c>
      <c r="H58" s="36"/>
      <c r="I58" s="44">
        <f>I55/I57</f>
        <v>320.6769231</v>
      </c>
      <c r="J58" s="39">
        <f>I58/30</f>
        <v>10.68923077</v>
      </c>
      <c r="K58" s="39" t="s">
        <v>105</v>
      </c>
      <c r="L58" s="39">
        <f>L48*N58</f>
        <v>3900</v>
      </c>
      <c r="M58" s="41" t="s">
        <v>75</v>
      </c>
      <c r="N58" s="46">
        <v>1.3</v>
      </c>
      <c r="O58" s="43">
        <f>L58*'COSTOS '!$E44</f>
        <v>62400</v>
      </c>
      <c r="P58" s="43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</row>
    <row r="59" ht="15.75" customHeight="1">
      <c r="A59" s="39" t="s">
        <v>77</v>
      </c>
      <c r="B59" s="39">
        <f>B55*D59</f>
        <v>1800</v>
      </c>
      <c r="C59" s="41" t="s">
        <v>75</v>
      </c>
      <c r="D59" s="42">
        <v>0.3</v>
      </c>
      <c r="E59" s="43">
        <f>B59*'COSTOS '!$E9</f>
        <v>14400</v>
      </c>
      <c r="F59" s="43"/>
      <c r="G59" s="39" t="s">
        <v>40</v>
      </c>
      <c r="H59" s="36"/>
      <c r="I59" s="44">
        <f>I58*I56</f>
        <v>128270.7692</v>
      </c>
      <c r="J59" s="39"/>
      <c r="K59" s="39" t="s">
        <v>73</v>
      </c>
      <c r="L59" s="39">
        <f>L48*N59</f>
        <v>2100</v>
      </c>
      <c r="M59" s="41" t="s">
        <v>75</v>
      </c>
      <c r="N59" s="46">
        <v>0.7</v>
      </c>
      <c r="O59" s="43">
        <f>L59*'COSTOS '!$E51</f>
        <v>31500</v>
      </c>
      <c r="P59" s="43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</row>
    <row r="60" ht="15.75" customHeight="1">
      <c r="A60" s="39" t="s">
        <v>78</v>
      </c>
      <c r="B60" s="39">
        <f>B55*D60</f>
        <v>120</v>
      </c>
      <c r="C60" s="41" t="s">
        <v>75</v>
      </c>
      <c r="D60" s="42">
        <v>0.02</v>
      </c>
      <c r="E60" s="43">
        <f>B60*'COSTOS '!$E10</f>
        <v>960</v>
      </c>
      <c r="F60" s="43"/>
      <c r="G60" s="39" t="s">
        <v>43</v>
      </c>
      <c r="H60" s="36"/>
      <c r="I60" s="48">
        <f>SUM(E55:E66)</f>
        <v>51773.95152</v>
      </c>
      <c r="J60" s="39"/>
      <c r="K60" s="39" t="s">
        <v>86</v>
      </c>
      <c r="L60" s="39">
        <f>L48*N60</f>
        <v>1500</v>
      </c>
      <c r="M60" s="41" t="s">
        <v>75</v>
      </c>
      <c r="N60" s="46">
        <v>0.5</v>
      </c>
      <c r="O60" s="43">
        <f>L60*'COSTOS '!$E50</f>
        <v>8812.5</v>
      </c>
      <c r="P60" s="43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</row>
    <row r="61" ht="15.75" customHeight="1">
      <c r="A61" s="39" t="s">
        <v>23</v>
      </c>
      <c r="B61" s="39">
        <f>B55*D61</f>
        <v>180</v>
      </c>
      <c r="C61" s="41" t="s">
        <v>75</v>
      </c>
      <c r="D61" s="42">
        <v>0.03</v>
      </c>
      <c r="E61" s="43">
        <f>B61*'COSTOS '!$E11</f>
        <v>1908</v>
      </c>
      <c r="F61" s="43"/>
      <c r="G61" s="39" t="s">
        <v>45</v>
      </c>
      <c r="H61" s="36"/>
      <c r="I61" s="48">
        <v>22000.0</v>
      </c>
      <c r="J61" s="39"/>
      <c r="K61" s="39" t="s">
        <v>106</v>
      </c>
      <c r="L61" s="39">
        <f>L48*N61</f>
        <v>300</v>
      </c>
      <c r="M61" s="41" t="s">
        <v>75</v>
      </c>
      <c r="N61" s="42">
        <v>0.1</v>
      </c>
      <c r="O61" s="43">
        <f>L61*'COSTOS '!E50</f>
        <v>1762.5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</row>
    <row r="62" ht="15.75" customHeight="1">
      <c r="A62" s="39" t="s">
        <v>25</v>
      </c>
      <c r="B62" s="39">
        <f>B55*D62</f>
        <v>60</v>
      </c>
      <c r="C62" s="41" t="s">
        <v>75</v>
      </c>
      <c r="D62" s="42">
        <v>0.01</v>
      </c>
      <c r="E62" s="43">
        <f>B62*'COSTOS '!$E13</f>
        <v>1476</v>
      </c>
      <c r="F62" s="43"/>
      <c r="G62" s="39" t="s">
        <v>53</v>
      </c>
      <c r="H62" s="36"/>
      <c r="I62" s="48">
        <f>I59-I60-I61</f>
        <v>54496.81772</v>
      </c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</row>
    <row r="63" ht="15.75" customHeight="1">
      <c r="A63" s="39" t="s">
        <v>35</v>
      </c>
      <c r="B63" s="39">
        <f>B55*D63</f>
        <v>240</v>
      </c>
      <c r="C63" s="41" t="s">
        <v>75</v>
      </c>
      <c r="D63" s="42">
        <v>0.04</v>
      </c>
      <c r="E63" s="43">
        <f>B63*'COSTOS '!$E15</f>
        <v>1701.818182</v>
      </c>
      <c r="F63" s="43"/>
      <c r="G63" s="39" t="s">
        <v>79</v>
      </c>
      <c r="H63" s="36"/>
      <c r="I63" s="49">
        <v>1300.0</v>
      </c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</row>
    <row r="64" ht="15.75" customHeight="1">
      <c r="A64" s="39" t="s">
        <v>29</v>
      </c>
      <c r="B64" s="39">
        <f>B55*D64</f>
        <v>0</v>
      </c>
      <c r="C64" s="41" t="s">
        <v>75</v>
      </c>
      <c r="D64" s="42">
        <v>0.0</v>
      </c>
      <c r="E64" s="43">
        <f>B64*'COSTOS '!$E17</f>
        <v>0</v>
      </c>
      <c r="F64" s="43"/>
      <c r="G64" s="39"/>
      <c r="H64" s="36"/>
      <c r="I64" s="48"/>
      <c r="J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</row>
    <row r="65" ht="15.75" customHeight="1">
      <c r="A65" s="39" t="s">
        <v>32</v>
      </c>
      <c r="B65" s="39">
        <f>B55*D65</f>
        <v>60</v>
      </c>
      <c r="C65" s="41" t="s">
        <v>75</v>
      </c>
      <c r="D65" s="42">
        <v>0.01</v>
      </c>
      <c r="E65" s="43">
        <f>B65*'COSTOS '!$E19</f>
        <v>624</v>
      </c>
      <c r="F65" s="43"/>
      <c r="G65" s="39"/>
      <c r="H65" s="36"/>
      <c r="I65" s="48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</row>
    <row r="66" ht="15.75" customHeight="1">
      <c r="A66" s="39" t="s">
        <v>58</v>
      </c>
      <c r="B66" s="39">
        <f>B55*D66</f>
        <v>1800</v>
      </c>
      <c r="C66" s="41" t="s">
        <v>75</v>
      </c>
      <c r="D66" s="42">
        <v>0.3</v>
      </c>
      <c r="E66" s="43">
        <f>B66*'COSTOS '!$E32</f>
        <v>1.8</v>
      </c>
      <c r="F66" s="43"/>
      <c r="G66" s="39"/>
      <c r="H66" s="36"/>
      <c r="I66" s="48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</row>
    <row r="67" ht="15.75" customHeight="1">
      <c r="A67" s="39"/>
      <c r="B67" s="39"/>
      <c r="C67" s="41"/>
      <c r="D67" s="42"/>
      <c r="E67" s="43"/>
      <c r="F67" s="43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</row>
    <row r="68" ht="15.75" customHeight="1">
      <c r="A68" s="39"/>
      <c r="B68" s="39"/>
      <c r="C68" s="41"/>
      <c r="D68" s="42"/>
      <c r="E68" s="43"/>
      <c r="F68" s="43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</row>
    <row r="69" ht="15.75" customHeight="1">
      <c r="A69" s="37" t="s">
        <v>107</v>
      </c>
      <c r="E69" s="39"/>
      <c r="F69" s="43"/>
      <c r="G69" s="39"/>
      <c r="H69" s="39"/>
      <c r="I69" s="39"/>
      <c r="J69" s="40" t="s">
        <v>108</v>
      </c>
      <c r="K69" s="45" t="s">
        <v>109</v>
      </c>
      <c r="O69" s="39"/>
      <c r="P69" s="43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</row>
    <row r="70" ht="15.75" customHeight="1">
      <c r="A70" s="39" t="s">
        <v>17</v>
      </c>
      <c r="B70" s="40">
        <v>9000.0</v>
      </c>
      <c r="C70" s="41" t="s">
        <v>75</v>
      </c>
      <c r="D70" s="42">
        <v>1.0</v>
      </c>
      <c r="E70" s="43">
        <f>B70*'COSTOS '!E5</f>
        <v>32220</v>
      </c>
      <c r="F70" s="43"/>
      <c r="G70" s="39" t="s">
        <v>31</v>
      </c>
      <c r="H70" s="39"/>
      <c r="I70" s="44">
        <f>SUM(B70:B80)</f>
        <v>16695</v>
      </c>
      <c r="J70" s="44">
        <f>SUM(B70:B80)</f>
        <v>16695</v>
      </c>
      <c r="K70" s="39" t="s">
        <v>17</v>
      </c>
      <c r="L70" s="39">
        <v>1400.0</v>
      </c>
      <c r="M70" s="41" t="s">
        <v>75</v>
      </c>
      <c r="N70" s="42">
        <v>1.0</v>
      </c>
      <c r="O70" s="43">
        <f>L70*'COSTOS '!$E5</f>
        <v>5012</v>
      </c>
      <c r="P70" s="43"/>
      <c r="Q70" s="39" t="s">
        <v>31</v>
      </c>
      <c r="R70" s="39"/>
      <c r="S70" s="44">
        <f>SUM(L70:L80)</f>
        <v>2902.2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</row>
    <row r="71" ht="15.75" customHeight="1">
      <c r="A71" s="39" t="s">
        <v>18</v>
      </c>
      <c r="B71" s="39">
        <f>B70*D71</f>
        <v>1170</v>
      </c>
      <c r="C71" s="41" t="s">
        <v>75</v>
      </c>
      <c r="D71" s="42">
        <v>0.13</v>
      </c>
      <c r="E71" s="43">
        <f>B71*'COSTOS '!E6</f>
        <v>4914</v>
      </c>
      <c r="F71" s="43"/>
      <c r="G71" s="39" t="s">
        <v>33</v>
      </c>
      <c r="H71" s="39"/>
      <c r="I71" s="49">
        <f>5000/3</f>
        <v>1666.666667</v>
      </c>
      <c r="J71" s="49">
        <f>5000/2</f>
        <v>2500</v>
      </c>
      <c r="K71" s="39" t="s">
        <v>18</v>
      </c>
      <c r="L71" s="39">
        <f>L70*N71</f>
        <v>700</v>
      </c>
      <c r="M71" s="41" t="s">
        <v>75</v>
      </c>
      <c r="N71" s="42">
        <v>0.5</v>
      </c>
      <c r="O71" s="43">
        <f>L71*'COSTOS '!$E6</f>
        <v>2940</v>
      </c>
      <c r="P71" s="43"/>
      <c r="Q71" s="39" t="s">
        <v>33</v>
      </c>
      <c r="R71" s="39"/>
      <c r="S71" s="48">
        <v>666.0</v>
      </c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</row>
    <row r="72" ht="15.75" customHeight="1">
      <c r="A72" s="39" t="s">
        <v>19</v>
      </c>
      <c r="B72" s="39">
        <f>B70*D72</f>
        <v>450</v>
      </c>
      <c r="C72" s="41" t="s">
        <v>75</v>
      </c>
      <c r="D72" s="42">
        <v>0.05</v>
      </c>
      <c r="E72" s="43">
        <f>B72*'COSTOS '!E7</f>
        <v>5600</v>
      </c>
      <c r="F72" s="43"/>
      <c r="G72" s="39" t="s">
        <v>36</v>
      </c>
      <c r="H72" s="39"/>
      <c r="I72" s="48">
        <f t="shared" ref="I72:J72" si="2">I78/36</f>
        <v>144.4444444</v>
      </c>
      <c r="J72" s="48">
        <f t="shared" si="2"/>
        <v>188.8888889</v>
      </c>
      <c r="K72" s="39" t="s">
        <v>19</v>
      </c>
      <c r="L72" s="39">
        <f>L70*N72</f>
        <v>70</v>
      </c>
      <c r="M72" s="41" t="s">
        <v>75</v>
      </c>
      <c r="N72" s="42">
        <v>0.05</v>
      </c>
      <c r="O72" s="43">
        <f>L72*'COSTOS '!$E7</f>
        <v>871.1111111</v>
      </c>
      <c r="P72" s="43"/>
      <c r="Q72" s="39" t="s">
        <v>36</v>
      </c>
      <c r="R72" s="39"/>
      <c r="S72" s="48">
        <f>S78/36</f>
        <v>44.44444444</v>
      </c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</row>
    <row r="73" ht="15.75" customHeight="1">
      <c r="A73" s="39" t="s">
        <v>20</v>
      </c>
      <c r="B73" s="39">
        <f>B70*D73</f>
        <v>180</v>
      </c>
      <c r="C73" s="41" t="s">
        <v>75</v>
      </c>
      <c r="D73" s="42">
        <v>0.02</v>
      </c>
      <c r="E73" s="43">
        <f>B73*'COSTOS '!E8</f>
        <v>337.5</v>
      </c>
      <c r="F73" s="43"/>
      <c r="G73" s="39" t="s">
        <v>38</v>
      </c>
      <c r="H73" s="39"/>
      <c r="I73" s="44">
        <f t="shared" ref="I73:J73" si="3">I70/I72</f>
        <v>115.5807692</v>
      </c>
      <c r="J73" s="44">
        <f t="shared" si="3"/>
        <v>88.38529412</v>
      </c>
      <c r="K73" s="39" t="s">
        <v>20</v>
      </c>
      <c r="L73" s="39">
        <f>L70*N73</f>
        <v>0</v>
      </c>
      <c r="M73" s="41" t="s">
        <v>75</v>
      </c>
      <c r="N73" s="42">
        <v>0.0</v>
      </c>
      <c r="O73" s="43">
        <f>L73*'COSTOS '!$E8</f>
        <v>0</v>
      </c>
      <c r="P73" s="43"/>
      <c r="Q73" s="39" t="s">
        <v>38</v>
      </c>
      <c r="R73" s="39"/>
      <c r="S73" s="44">
        <f>S70/S72</f>
        <v>65.2995</v>
      </c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</row>
    <row r="74" ht="15.75" customHeight="1">
      <c r="A74" s="39" t="s">
        <v>77</v>
      </c>
      <c r="B74" s="39">
        <f>B70*D74</f>
        <v>2430</v>
      </c>
      <c r="C74" s="41" t="s">
        <v>75</v>
      </c>
      <c r="D74" s="42">
        <v>0.27</v>
      </c>
      <c r="E74" s="43">
        <f>B74*'COSTOS '!E9</f>
        <v>19440</v>
      </c>
      <c r="F74" s="43"/>
      <c r="G74" s="39" t="s">
        <v>40</v>
      </c>
      <c r="H74" s="39"/>
      <c r="I74" s="44">
        <f t="shared" ref="I74:J74" si="4">I73*I71</f>
        <v>192634.6154</v>
      </c>
      <c r="J74" s="44">
        <f t="shared" si="4"/>
        <v>220963.2353</v>
      </c>
      <c r="K74" s="39" t="s">
        <v>77</v>
      </c>
      <c r="L74" s="39">
        <f>L70*N74</f>
        <v>700</v>
      </c>
      <c r="M74" s="41" t="s">
        <v>75</v>
      </c>
      <c r="N74" s="42">
        <v>0.5</v>
      </c>
      <c r="O74" s="43">
        <f>L74*'COSTOS '!$E9</f>
        <v>5600</v>
      </c>
      <c r="P74" s="43"/>
      <c r="Q74" s="39" t="s">
        <v>40</v>
      </c>
      <c r="R74" s="39"/>
      <c r="S74" s="44">
        <f>S73*S71</f>
        <v>43489.467</v>
      </c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</row>
    <row r="75" ht="15.75" customHeight="1">
      <c r="A75" s="39" t="s">
        <v>110</v>
      </c>
      <c r="B75" s="39">
        <f>B70*D75</f>
        <v>90</v>
      </c>
      <c r="C75" s="41" t="s">
        <v>75</v>
      </c>
      <c r="D75" s="42">
        <v>0.01</v>
      </c>
      <c r="E75" s="43">
        <f>B75*'COSTOS '!E10</f>
        <v>720</v>
      </c>
      <c r="F75" s="43"/>
      <c r="G75" s="39" t="s">
        <v>43</v>
      </c>
      <c r="H75" s="39"/>
      <c r="I75" s="48">
        <f>SUM(E70:E81)</f>
        <v>100053.65</v>
      </c>
      <c r="J75" s="48">
        <f>SUM(E70:E81)</f>
        <v>100053.65</v>
      </c>
      <c r="K75" s="39" t="s">
        <v>110</v>
      </c>
      <c r="L75" s="39">
        <f>L70*N75</f>
        <v>14</v>
      </c>
      <c r="M75" s="41" t="s">
        <v>75</v>
      </c>
      <c r="N75" s="42">
        <v>0.01</v>
      </c>
      <c r="O75" s="43">
        <f>L75*'COSTOS '!$E10</f>
        <v>112</v>
      </c>
      <c r="P75" s="43"/>
      <c r="Q75" s="39" t="s">
        <v>43</v>
      </c>
      <c r="R75" s="39"/>
      <c r="S75" s="48">
        <f>SUM(O70:O81)</f>
        <v>14950.07111</v>
      </c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</row>
    <row r="76" ht="15.75" customHeight="1">
      <c r="A76" s="39" t="s">
        <v>23</v>
      </c>
      <c r="B76" s="39">
        <f>B70*D76</f>
        <v>135</v>
      </c>
      <c r="C76" s="41" t="s">
        <v>75</v>
      </c>
      <c r="D76" s="42">
        <v>0.015</v>
      </c>
      <c r="E76" s="43">
        <f>B76*'COSTOS '!E11</f>
        <v>1431</v>
      </c>
      <c r="F76" s="43"/>
      <c r="G76" s="39" t="s">
        <v>45</v>
      </c>
      <c r="H76" s="39"/>
      <c r="I76" s="48">
        <v>22000.0</v>
      </c>
      <c r="J76" s="48">
        <v>22000.0</v>
      </c>
      <c r="K76" s="39" t="s">
        <v>23</v>
      </c>
      <c r="L76" s="39">
        <f>L70*N76</f>
        <v>0</v>
      </c>
      <c r="M76" s="41" t="s">
        <v>75</v>
      </c>
      <c r="N76" s="42">
        <v>0.0</v>
      </c>
      <c r="O76" s="43">
        <f>L76*'COSTOS '!$E11</f>
        <v>0</v>
      </c>
      <c r="P76" s="43"/>
      <c r="Q76" s="39" t="s">
        <v>45</v>
      </c>
      <c r="R76" s="39"/>
      <c r="S76" s="48">
        <v>22000.0</v>
      </c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</row>
    <row r="77" ht="15.75" customHeight="1">
      <c r="A77" s="39" t="s">
        <v>25</v>
      </c>
      <c r="B77" s="39">
        <f>B70*D77</f>
        <v>90</v>
      </c>
      <c r="C77" s="41" t="s">
        <v>75</v>
      </c>
      <c r="D77" s="42">
        <v>0.01</v>
      </c>
      <c r="E77" s="43">
        <f>B77*'COSTOS '!E12</f>
        <v>1620</v>
      </c>
      <c r="F77" s="43"/>
      <c r="G77" s="39" t="s">
        <v>53</v>
      </c>
      <c r="H77" s="39"/>
      <c r="I77" s="48">
        <f t="shared" ref="I77:J77" si="5">I74-I75-I76</f>
        <v>70580.96538</v>
      </c>
      <c r="J77" s="48">
        <f t="shared" si="5"/>
        <v>98909.58529</v>
      </c>
      <c r="K77" s="39" t="s">
        <v>25</v>
      </c>
      <c r="L77" s="39">
        <f>L70*N77</f>
        <v>14</v>
      </c>
      <c r="M77" s="41" t="s">
        <v>75</v>
      </c>
      <c r="N77" s="42">
        <v>0.01</v>
      </c>
      <c r="O77" s="43">
        <f>L77*'COSTOS '!$E13</f>
        <v>344.4</v>
      </c>
      <c r="P77" s="43"/>
      <c r="Q77" s="39" t="s">
        <v>53</v>
      </c>
      <c r="R77" s="39"/>
      <c r="S77" s="48">
        <f>S74-S75-S76</f>
        <v>6539.395889</v>
      </c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</row>
    <row r="78" ht="15.75" customHeight="1">
      <c r="A78" s="39" t="s">
        <v>29</v>
      </c>
      <c r="B78" s="39">
        <f>B70*D78</f>
        <v>0</v>
      </c>
      <c r="C78" s="41" t="s">
        <v>75</v>
      </c>
      <c r="D78" s="42">
        <v>0.0</v>
      </c>
      <c r="E78" s="43">
        <f>B78*'COSTOS '!E13</f>
        <v>0</v>
      </c>
      <c r="F78" s="43"/>
      <c r="G78" s="39" t="s">
        <v>79</v>
      </c>
      <c r="H78" s="39"/>
      <c r="I78" s="49">
        <f t="shared" ref="I78:J78" si="6">I79*2</f>
        <v>5200</v>
      </c>
      <c r="J78" s="49">
        <f t="shared" si="6"/>
        <v>6800</v>
      </c>
      <c r="K78" s="39" t="s">
        <v>29</v>
      </c>
      <c r="L78" s="39">
        <f>L70*N78</f>
        <v>4.2</v>
      </c>
      <c r="M78" s="41" t="s">
        <v>75</v>
      </c>
      <c r="N78" s="52">
        <v>0.003</v>
      </c>
      <c r="O78" s="43">
        <f>L78*'COSTOS '!$E17</f>
        <v>70.56</v>
      </c>
      <c r="P78" s="43"/>
      <c r="Q78" s="39" t="s">
        <v>79</v>
      </c>
      <c r="R78" s="39"/>
      <c r="S78" s="48">
        <v>1600.0</v>
      </c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</row>
    <row r="79" ht="15.75" customHeight="1">
      <c r="A79" s="39" t="s">
        <v>30</v>
      </c>
      <c r="B79" s="39">
        <f>B70*D79</f>
        <v>0</v>
      </c>
      <c r="C79" s="41" t="s">
        <v>75</v>
      </c>
      <c r="D79" s="42">
        <v>0.0</v>
      </c>
      <c r="E79" s="43">
        <f>B79*'COSTOS '!E14</f>
        <v>0</v>
      </c>
      <c r="F79" s="43"/>
      <c r="G79" s="39"/>
      <c r="H79" s="39"/>
      <c r="I79" s="49">
        <v>2600.0</v>
      </c>
      <c r="J79" s="49">
        <v>3400.0</v>
      </c>
      <c r="K79" s="39" t="s">
        <v>30</v>
      </c>
      <c r="L79" s="39">
        <f>L70*N79</f>
        <v>0</v>
      </c>
      <c r="M79" s="41" t="s">
        <v>75</v>
      </c>
      <c r="N79" s="42">
        <v>0.0</v>
      </c>
      <c r="O79" s="43">
        <f>L79*'COSTOS '!$E18</f>
        <v>0</v>
      </c>
      <c r="P79" s="43"/>
      <c r="Q79" s="39"/>
      <c r="R79" s="39"/>
      <c r="S79" s="48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</row>
    <row r="80" ht="15.75" customHeight="1">
      <c r="A80" s="39" t="s">
        <v>58</v>
      </c>
      <c r="B80" s="39">
        <f>B70*D80</f>
        <v>3150</v>
      </c>
      <c r="C80" s="41" t="s">
        <v>75</v>
      </c>
      <c r="D80" s="42">
        <v>0.35</v>
      </c>
      <c r="E80" s="43">
        <f>B80*'COSTOS '!E32</f>
        <v>3.15</v>
      </c>
      <c r="F80" s="43"/>
      <c r="G80" s="39"/>
      <c r="H80" s="39"/>
      <c r="I80" s="48"/>
      <c r="J80" s="39"/>
      <c r="K80" s="39" t="s">
        <v>58</v>
      </c>
      <c r="L80" s="39">
        <f>L70*N80</f>
        <v>0</v>
      </c>
      <c r="M80" s="41" t="s">
        <v>75</v>
      </c>
      <c r="N80" s="42">
        <v>0.0</v>
      </c>
      <c r="O80" s="43">
        <f>L80*'COSTOS '!$E32</f>
        <v>0</v>
      </c>
      <c r="P80" s="43"/>
      <c r="Q80" s="39"/>
      <c r="R80" s="39"/>
      <c r="S80" s="48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</row>
    <row r="81" ht="15.75" customHeight="1">
      <c r="A81" s="39" t="s">
        <v>86</v>
      </c>
      <c r="B81" s="39">
        <f>B70*D81</f>
        <v>2520</v>
      </c>
      <c r="C81" s="41" t="s">
        <v>75</v>
      </c>
      <c r="D81" s="42">
        <v>0.28</v>
      </c>
      <c r="E81" s="43">
        <f>B81*'COSTOS '!E36</f>
        <v>33768</v>
      </c>
      <c r="F81" s="43"/>
      <c r="G81" s="39"/>
      <c r="H81" s="39"/>
      <c r="I81" s="48">
        <f>I73/12</f>
        <v>9.631730769</v>
      </c>
      <c r="J81" s="39">
        <f>189/36</f>
        <v>5.25</v>
      </c>
      <c r="K81" s="39" t="s">
        <v>86</v>
      </c>
      <c r="L81" s="39">
        <f>L70*N81</f>
        <v>0</v>
      </c>
      <c r="M81" s="41" t="s">
        <v>75</v>
      </c>
      <c r="N81" s="42">
        <v>0.0</v>
      </c>
      <c r="O81" s="43">
        <f>L81*'COSTOS '!$E36</f>
        <v>0</v>
      </c>
      <c r="P81" s="43"/>
      <c r="Q81" s="39"/>
      <c r="R81" s="39"/>
      <c r="S81" s="48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</row>
    <row r="82" ht="15.75" customHeight="1">
      <c r="A82" s="39" t="s">
        <v>111</v>
      </c>
      <c r="B82" s="39">
        <f>B70*D82</f>
        <v>0</v>
      </c>
      <c r="C82" s="41" t="s">
        <v>75</v>
      </c>
      <c r="D82" s="42">
        <v>0.0</v>
      </c>
      <c r="E82" s="43">
        <f>B82*'COSTOS '!E17</f>
        <v>0</v>
      </c>
      <c r="F82" s="43"/>
      <c r="G82" s="39"/>
      <c r="H82" s="39"/>
      <c r="I82" s="39"/>
      <c r="J82" s="39"/>
      <c r="K82" s="39" t="s">
        <v>111</v>
      </c>
      <c r="L82" s="39">
        <f>L70*N82</f>
        <v>0</v>
      </c>
      <c r="M82" s="41" t="s">
        <v>75</v>
      </c>
      <c r="N82" s="42">
        <v>0.0</v>
      </c>
      <c r="O82" s="43">
        <f>L82*'COSTOS '!$E15</f>
        <v>0</v>
      </c>
      <c r="P82" s="43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</row>
    <row r="83" ht="15.75" customHeight="1">
      <c r="A83" s="37" t="s">
        <v>112</v>
      </c>
      <c r="E83" s="39"/>
      <c r="F83" s="43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</row>
    <row r="84" ht="15.75" customHeight="1">
      <c r="A84" s="39" t="s">
        <v>17</v>
      </c>
      <c r="B84" s="40">
        <v>7000.0</v>
      </c>
      <c r="C84" s="41" t="s">
        <v>75</v>
      </c>
      <c r="D84" s="42">
        <v>1.0</v>
      </c>
      <c r="E84" s="43">
        <f>B84*'COSTOS '!$E5</f>
        <v>25060</v>
      </c>
      <c r="F84" s="43"/>
      <c r="G84" s="39" t="s">
        <v>31</v>
      </c>
      <c r="H84" s="39"/>
      <c r="I84" s="44">
        <f>SUM(B84:B94)</f>
        <v>12985</v>
      </c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</row>
    <row r="85" ht="15.75" customHeight="1">
      <c r="A85" s="39" t="s">
        <v>18</v>
      </c>
      <c r="B85" s="39">
        <f>B84*D85</f>
        <v>910</v>
      </c>
      <c r="C85" s="41" t="s">
        <v>75</v>
      </c>
      <c r="D85" s="42">
        <v>0.13</v>
      </c>
      <c r="E85" s="43">
        <f>B85*'COSTOS '!$E6</f>
        <v>3822</v>
      </c>
      <c r="F85" s="43"/>
      <c r="G85" s="39" t="s">
        <v>33</v>
      </c>
      <c r="H85" s="39"/>
      <c r="I85" s="49">
        <f>5000/6</f>
        <v>833.3333333</v>
      </c>
      <c r="J85" s="44">
        <f>4000/5</f>
        <v>800</v>
      </c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</row>
    <row r="86" ht="15.75" customHeight="1">
      <c r="A86" s="39" t="s">
        <v>19</v>
      </c>
      <c r="B86" s="39">
        <f>B84*D86</f>
        <v>350</v>
      </c>
      <c r="C86" s="41" t="s">
        <v>75</v>
      </c>
      <c r="D86" s="42">
        <v>0.05</v>
      </c>
      <c r="E86" s="43">
        <f>B86*'COSTOS '!$E7</f>
        <v>4355.555556</v>
      </c>
      <c r="F86" s="43"/>
      <c r="G86" s="39" t="s">
        <v>36</v>
      </c>
      <c r="H86" s="39"/>
      <c r="I86" s="48">
        <f>I92/36</f>
        <v>61.11111111</v>
      </c>
      <c r="J86" s="48"/>
      <c r="K86" s="39"/>
      <c r="L86" s="39"/>
      <c r="M86" s="39"/>
      <c r="N86" s="39"/>
      <c r="O86" s="39"/>
      <c r="P86" s="39"/>
      <c r="Q86" s="39"/>
      <c r="R86" s="39"/>
      <c r="S86" s="39"/>
      <c r="T86" s="44"/>
      <c r="U86" s="44"/>
      <c r="V86" s="39"/>
      <c r="W86" s="39"/>
      <c r="X86" s="39"/>
      <c r="Y86" s="39"/>
      <c r="Z86" s="39"/>
      <c r="AA86" s="39"/>
      <c r="AB86" s="39"/>
      <c r="AC86" s="39"/>
      <c r="AD86" s="44"/>
      <c r="AE86" s="39"/>
      <c r="AF86" s="39"/>
      <c r="AG86" s="39"/>
      <c r="AH86" s="39"/>
      <c r="AI86" s="39"/>
      <c r="AJ86" s="39"/>
      <c r="AK86" s="39"/>
      <c r="AL86" s="39"/>
      <c r="AM86" s="44"/>
      <c r="AN86" s="39"/>
      <c r="AO86" s="39"/>
      <c r="AP86" s="39"/>
      <c r="AQ86" s="39"/>
      <c r="AR86" s="39"/>
      <c r="AS86" s="39"/>
      <c r="AT86" s="39"/>
      <c r="AU86" s="39"/>
      <c r="AV86" s="39"/>
    </row>
    <row r="87" ht="15.75" customHeight="1">
      <c r="A87" s="39" t="s">
        <v>20</v>
      </c>
      <c r="B87" s="39">
        <f>B84*D87</f>
        <v>140</v>
      </c>
      <c r="C87" s="41" t="s">
        <v>75</v>
      </c>
      <c r="D87" s="42">
        <v>0.02</v>
      </c>
      <c r="E87" s="43">
        <f>B87*'COSTOS '!$E8</f>
        <v>262.5</v>
      </c>
      <c r="F87" s="43"/>
      <c r="G87" s="39" t="s">
        <v>38</v>
      </c>
      <c r="H87" s="39"/>
      <c r="I87" s="44">
        <f>I84/I86</f>
        <v>212.4818182</v>
      </c>
      <c r="J87" s="49"/>
      <c r="K87" s="39"/>
      <c r="L87" s="39"/>
      <c r="M87" s="39"/>
      <c r="N87" s="39"/>
      <c r="O87" s="39"/>
      <c r="P87" s="39"/>
      <c r="Q87" s="39"/>
      <c r="R87" s="39"/>
      <c r="S87" s="39"/>
      <c r="T87" s="48"/>
      <c r="U87" s="48"/>
      <c r="V87" s="39"/>
      <c r="W87" s="39"/>
      <c r="X87" s="39"/>
      <c r="Y87" s="39"/>
      <c r="Z87" s="39"/>
      <c r="AA87" s="39"/>
      <c r="AB87" s="39"/>
      <c r="AC87" s="39"/>
      <c r="AD87" s="48"/>
      <c r="AE87" s="39"/>
      <c r="AF87" s="39"/>
      <c r="AG87" s="39"/>
      <c r="AH87" s="39"/>
      <c r="AI87" s="39"/>
      <c r="AJ87" s="39"/>
      <c r="AK87" s="39"/>
      <c r="AL87" s="39"/>
      <c r="AM87" s="48"/>
      <c r="AN87" s="39"/>
      <c r="AO87" s="39"/>
      <c r="AP87" s="39"/>
      <c r="AQ87" s="39"/>
      <c r="AR87" s="39"/>
      <c r="AS87" s="39"/>
      <c r="AT87" s="39"/>
      <c r="AU87" s="39"/>
      <c r="AV87" s="39"/>
    </row>
    <row r="88" ht="15.75" customHeight="1">
      <c r="A88" s="39" t="s">
        <v>77</v>
      </c>
      <c r="B88" s="39">
        <f>B84*D88</f>
        <v>1890</v>
      </c>
      <c r="C88" s="41" t="s">
        <v>75</v>
      </c>
      <c r="D88" s="42">
        <v>0.27</v>
      </c>
      <c r="E88" s="43">
        <f>B88*'COSTOS '!$E9</f>
        <v>15120</v>
      </c>
      <c r="F88" s="43"/>
      <c r="G88" s="39" t="s">
        <v>40</v>
      </c>
      <c r="H88" s="39"/>
      <c r="I88" s="44">
        <f>I87*I85</f>
        <v>177068.1818</v>
      </c>
      <c r="J88" s="53"/>
      <c r="K88" s="54"/>
      <c r="L88" s="39"/>
      <c r="M88" s="39"/>
      <c r="N88" s="39"/>
      <c r="O88" s="39"/>
      <c r="P88" s="39"/>
      <c r="Q88" s="39"/>
      <c r="R88" s="39"/>
      <c r="S88" s="39"/>
      <c r="T88" s="48"/>
      <c r="U88" s="48"/>
      <c r="V88" s="39"/>
      <c r="W88" s="39"/>
      <c r="X88" s="39"/>
      <c r="Y88" s="39"/>
      <c r="Z88" s="39"/>
      <c r="AA88" s="39"/>
      <c r="AB88" s="39"/>
      <c r="AC88" s="39"/>
      <c r="AD88" s="48"/>
      <c r="AE88" s="39"/>
      <c r="AF88" s="39"/>
      <c r="AG88" s="39"/>
      <c r="AH88" s="39"/>
      <c r="AI88" s="39"/>
      <c r="AJ88" s="39"/>
      <c r="AK88" s="39"/>
      <c r="AL88" s="39"/>
      <c r="AM88" s="48"/>
      <c r="AN88" s="39"/>
      <c r="AO88" s="39"/>
      <c r="AP88" s="39"/>
      <c r="AQ88" s="39"/>
      <c r="AR88" s="39"/>
      <c r="AS88" s="39"/>
      <c r="AT88" s="39"/>
      <c r="AU88" s="39"/>
      <c r="AV88" s="39"/>
    </row>
    <row r="89" ht="15.75" customHeight="1">
      <c r="A89" s="39" t="s">
        <v>110</v>
      </c>
      <c r="B89" s="39">
        <f>B84*D89</f>
        <v>70</v>
      </c>
      <c r="C89" s="41" t="s">
        <v>75</v>
      </c>
      <c r="D89" s="42">
        <v>0.01</v>
      </c>
      <c r="E89" s="43">
        <f>B89*'COSTOS '!$E10</f>
        <v>560</v>
      </c>
      <c r="F89" s="43"/>
      <c r="G89" s="39" t="s">
        <v>43</v>
      </c>
      <c r="H89" s="39"/>
      <c r="I89" s="48">
        <f>SUM(E84:E95)</f>
        <v>75467.50556</v>
      </c>
      <c r="J89" s="44"/>
      <c r="K89" s="48"/>
      <c r="L89" s="39"/>
      <c r="M89" s="39"/>
      <c r="N89" s="39"/>
      <c r="O89" s="39"/>
      <c r="P89" s="39"/>
      <c r="Q89" s="39"/>
      <c r="R89" s="39"/>
      <c r="S89" s="39"/>
      <c r="T89" s="44"/>
      <c r="U89" s="44"/>
      <c r="V89" s="39"/>
      <c r="W89" s="39"/>
      <c r="X89" s="39"/>
      <c r="Y89" s="39"/>
      <c r="Z89" s="39"/>
      <c r="AA89" s="39"/>
      <c r="AB89" s="39"/>
      <c r="AC89" s="39"/>
      <c r="AD89" s="44"/>
      <c r="AE89" s="39"/>
      <c r="AF89" s="39"/>
      <c r="AG89" s="39"/>
      <c r="AH89" s="39"/>
      <c r="AI89" s="39"/>
      <c r="AJ89" s="39"/>
      <c r="AK89" s="39"/>
      <c r="AL89" s="39"/>
      <c r="AM89" s="44"/>
      <c r="AN89" s="39"/>
      <c r="AO89" s="39"/>
      <c r="AP89" s="39"/>
      <c r="AQ89" s="39"/>
      <c r="AR89" s="39"/>
      <c r="AS89" s="39"/>
      <c r="AT89" s="39"/>
      <c r="AU89" s="39"/>
      <c r="AV89" s="39"/>
    </row>
    <row r="90" ht="15.75" customHeight="1">
      <c r="A90" s="39" t="s">
        <v>23</v>
      </c>
      <c r="B90" s="39">
        <f>B84*D90</f>
        <v>105</v>
      </c>
      <c r="C90" s="41" t="s">
        <v>75</v>
      </c>
      <c r="D90" s="42">
        <v>0.015</v>
      </c>
      <c r="E90" s="43">
        <f>B90*'COSTOS '!$E11</f>
        <v>1113</v>
      </c>
      <c r="F90" s="43"/>
      <c r="G90" s="39" t="s">
        <v>45</v>
      </c>
      <c r="H90" s="39"/>
      <c r="I90" s="48">
        <v>22000.0</v>
      </c>
      <c r="J90" s="48"/>
      <c r="K90" s="48"/>
      <c r="L90" s="39"/>
      <c r="M90" s="39"/>
      <c r="N90" s="39"/>
      <c r="O90" s="39"/>
      <c r="P90" s="39"/>
      <c r="Q90" s="39"/>
      <c r="R90" s="39"/>
      <c r="S90" s="39"/>
      <c r="T90" s="44"/>
      <c r="U90" s="44"/>
      <c r="V90" s="39"/>
      <c r="W90" s="39"/>
      <c r="X90" s="39"/>
      <c r="Y90" s="39"/>
      <c r="Z90" s="39"/>
      <c r="AA90" s="39"/>
      <c r="AB90" s="39"/>
      <c r="AC90" s="39"/>
      <c r="AD90" s="44"/>
      <c r="AE90" s="39"/>
      <c r="AF90" s="39"/>
      <c r="AG90" s="39"/>
      <c r="AH90" s="39"/>
      <c r="AI90" s="39"/>
      <c r="AJ90" s="39"/>
      <c r="AK90" s="39"/>
      <c r="AL90" s="39"/>
      <c r="AM90" s="44"/>
      <c r="AN90" s="39"/>
      <c r="AO90" s="39"/>
      <c r="AP90" s="39"/>
      <c r="AQ90" s="39"/>
      <c r="AR90" s="39"/>
      <c r="AS90" s="39"/>
      <c r="AT90" s="39"/>
      <c r="AU90" s="39"/>
      <c r="AV90" s="39"/>
    </row>
    <row r="91" ht="15.75" customHeight="1">
      <c r="A91" s="39" t="s">
        <v>25</v>
      </c>
      <c r="B91" s="39">
        <f>B84*D91</f>
        <v>70</v>
      </c>
      <c r="C91" s="41" t="s">
        <v>75</v>
      </c>
      <c r="D91" s="42">
        <v>0.01</v>
      </c>
      <c r="E91" s="43">
        <f>B91*'COSTOS '!$E13</f>
        <v>1722</v>
      </c>
      <c r="F91" s="43"/>
      <c r="G91" s="39" t="s">
        <v>53</v>
      </c>
      <c r="H91" s="39"/>
      <c r="I91" s="48">
        <f>I88-I89-I90</f>
        <v>79600.67626</v>
      </c>
      <c r="J91" s="48"/>
      <c r="K91" s="44"/>
      <c r="L91" s="39"/>
      <c r="M91" s="39"/>
      <c r="N91" s="39"/>
      <c r="O91" s="39"/>
      <c r="P91" s="39"/>
      <c r="Q91" s="39"/>
      <c r="R91" s="39"/>
      <c r="S91" s="39"/>
      <c r="T91" s="48"/>
      <c r="U91" s="48"/>
      <c r="V91" s="39"/>
      <c r="W91" s="39"/>
      <c r="X91" s="39"/>
      <c r="Y91" s="39"/>
      <c r="Z91" s="39"/>
      <c r="AA91" s="39"/>
      <c r="AB91" s="39"/>
      <c r="AC91" s="39"/>
      <c r="AD91" s="48"/>
      <c r="AE91" s="39"/>
      <c r="AF91" s="39"/>
      <c r="AG91" s="39"/>
      <c r="AH91" s="39"/>
      <c r="AI91" s="39"/>
      <c r="AJ91" s="39"/>
      <c r="AK91" s="39"/>
      <c r="AL91" s="39"/>
      <c r="AM91" s="48"/>
      <c r="AN91" s="39"/>
      <c r="AO91" s="39"/>
      <c r="AP91" s="39"/>
      <c r="AQ91" s="39"/>
      <c r="AR91" s="39"/>
      <c r="AS91" s="39"/>
      <c r="AT91" s="39"/>
      <c r="AU91" s="39"/>
      <c r="AV91" s="39"/>
    </row>
    <row r="92" ht="15.75" customHeight="1">
      <c r="A92" s="39" t="s">
        <v>29</v>
      </c>
      <c r="B92" s="39">
        <f>B84*D92</f>
        <v>0</v>
      </c>
      <c r="C92" s="41" t="s">
        <v>75</v>
      </c>
      <c r="D92" s="42">
        <v>0.0</v>
      </c>
      <c r="E92" s="43">
        <f>B92*'COSTOS '!$E17</f>
        <v>0</v>
      </c>
      <c r="F92" s="43"/>
      <c r="G92" s="39" t="s">
        <v>79</v>
      </c>
      <c r="H92" s="39"/>
      <c r="I92" s="49">
        <v>2200.0</v>
      </c>
      <c r="J92" s="48"/>
      <c r="K92" s="44"/>
      <c r="L92" s="39"/>
      <c r="M92" s="39"/>
      <c r="N92" s="39"/>
      <c r="O92" s="39"/>
      <c r="P92" s="39"/>
      <c r="Q92" s="39"/>
      <c r="R92" s="39"/>
      <c r="S92" s="39"/>
      <c r="T92" s="48"/>
      <c r="U92" s="48"/>
      <c r="V92" s="39"/>
      <c r="W92" s="39"/>
      <c r="X92" s="39"/>
      <c r="Y92" s="39"/>
      <c r="Z92" s="39"/>
      <c r="AA92" s="39"/>
      <c r="AB92" s="39"/>
      <c r="AC92" s="39"/>
      <c r="AD92" s="48"/>
      <c r="AE92" s="39"/>
      <c r="AF92" s="39"/>
      <c r="AG92" s="39"/>
      <c r="AH92" s="39"/>
      <c r="AI92" s="39"/>
      <c r="AJ92" s="39"/>
      <c r="AK92" s="39"/>
      <c r="AL92" s="39"/>
      <c r="AM92" s="48"/>
      <c r="AN92" s="39"/>
      <c r="AO92" s="39"/>
      <c r="AP92" s="39"/>
      <c r="AQ92" s="39"/>
      <c r="AR92" s="39"/>
      <c r="AS92" s="39"/>
      <c r="AT92" s="39"/>
      <c r="AU92" s="39"/>
      <c r="AV92" s="39"/>
    </row>
    <row r="93" ht="15.75" customHeight="1">
      <c r="A93" s="39" t="s">
        <v>30</v>
      </c>
      <c r="B93" s="39">
        <f>B84*D93</f>
        <v>0</v>
      </c>
      <c r="C93" s="41" t="s">
        <v>75</v>
      </c>
      <c r="D93" s="42">
        <v>0.0</v>
      </c>
      <c r="E93" s="43">
        <f>B93*'COSTOS '!$E18</f>
        <v>0</v>
      </c>
      <c r="F93" s="43"/>
      <c r="G93" s="39"/>
      <c r="H93" s="39"/>
      <c r="I93" s="48"/>
      <c r="J93" s="48"/>
      <c r="K93" s="48"/>
      <c r="L93" s="39"/>
      <c r="M93" s="39"/>
      <c r="N93" s="39"/>
      <c r="O93" s="39"/>
      <c r="P93" s="39"/>
      <c r="Q93" s="39"/>
      <c r="R93" s="39"/>
      <c r="S93" s="39"/>
      <c r="T93" s="48"/>
      <c r="U93" s="48"/>
      <c r="V93" s="39"/>
      <c r="W93" s="39"/>
      <c r="X93" s="39"/>
      <c r="Y93" s="39"/>
      <c r="Z93" s="39"/>
      <c r="AA93" s="39"/>
      <c r="AB93" s="39"/>
      <c r="AC93" s="39"/>
      <c r="AD93" s="48"/>
      <c r="AE93" s="39"/>
      <c r="AF93" s="39"/>
      <c r="AG93" s="39"/>
      <c r="AH93" s="39"/>
      <c r="AI93" s="39"/>
      <c r="AJ93" s="39"/>
      <c r="AK93" s="39"/>
      <c r="AL93" s="39"/>
      <c r="AM93" s="48"/>
      <c r="AN93" s="39"/>
      <c r="AO93" s="39"/>
      <c r="AP93" s="39"/>
      <c r="AQ93" s="39"/>
      <c r="AR93" s="39"/>
      <c r="AS93" s="39"/>
      <c r="AT93" s="39"/>
      <c r="AU93" s="39"/>
      <c r="AV93" s="39"/>
    </row>
    <row r="94" ht="15.75" customHeight="1">
      <c r="A94" s="39" t="s">
        <v>58</v>
      </c>
      <c r="B94" s="39">
        <f>B84*D94</f>
        <v>2450</v>
      </c>
      <c r="C94" s="41" t="s">
        <v>75</v>
      </c>
      <c r="D94" s="42">
        <v>0.35</v>
      </c>
      <c r="E94" s="43">
        <f>B94*'COSTOS '!$E32</f>
        <v>2.45</v>
      </c>
      <c r="F94" s="43"/>
      <c r="G94" s="39"/>
      <c r="H94" s="39"/>
      <c r="I94" s="48"/>
      <c r="J94" s="48"/>
      <c r="K94" s="48"/>
      <c r="L94" s="39"/>
      <c r="M94" s="39"/>
      <c r="N94" s="39"/>
      <c r="O94" s="39"/>
      <c r="P94" s="39"/>
      <c r="Q94" s="39"/>
      <c r="R94" s="39"/>
      <c r="S94" s="39"/>
      <c r="T94" s="48"/>
      <c r="U94" s="48"/>
      <c r="V94" s="39"/>
      <c r="W94" s="39"/>
      <c r="X94" s="39"/>
      <c r="Y94" s="39"/>
      <c r="Z94" s="39"/>
      <c r="AA94" s="39"/>
      <c r="AB94" s="39"/>
      <c r="AC94" s="39"/>
      <c r="AD94" s="48"/>
      <c r="AE94" s="39"/>
      <c r="AF94" s="39"/>
      <c r="AG94" s="39"/>
      <c r="AH94" s="39"/>
      <c r="AI94" s="39"/>
      <c r="AJ94" s="39"/>
      <c r="AK94" s="39"/>
      <c r="AL94" s="39"/>
      <c r="AM94" s="48"/>
      <c r="AN94" s="39"/>
      <c r="AO94" s="39"/>
      <c r="AP94" s="39"/>
      <c r="AQ94" s="39"/>
      <c r="AR94" s="39"/>
      <c r="AS94" s="39"/>
      <c r="AT94" s="39"/>
      <c r="AU94" s="39"/>
      <c r="AV94" s="39"/>
    </row>
    <row r="95" ht="15.75" customHeight="1">
      <c r="A95" s="39" t="s">
        <v>86</v>
      </c>
      <c r="B95" s="39">
        <f>B84*D95</f>
        <v>1750</v>
      </c>
      <c r="C95" s="41" t="s">
        <v>75</v>
      </c>
      <c r="D95" s="46">
        <v>0.25</v>
      </c>
      <c r="E95" s="43">
        <f>B95*'COSTOS '!$E36</f>
        <v>23450</v>
      </c>
      <c r="F95" s="43"/>
      <c r="G95" s="39"/>
      <c r="H95" s="39"/>
      <c r="I95" s="48"/>
      <c r="J95" s="48"/>
      <c r="K95" s="48"/>
      <c r="L95" s="39"/>
      <c r="M95" s="39"/>
      <c r="N95" s="39"/>
      <c r="O95" s="39"/>
      <c r="P95" s="39"/>
      <c r="Q95" s="39"/>
      <c r="R95" s="39"/>
      <c r="S95" s="39"/>
      <c r="T95" s="48"/>
      <c r="U95" s="48"/>
      <c r="V95" s="39"/>
      <c r="W95" s="39"/>
      <c r="X95" s="39"/>
      <c r="Y95" s="39"/>
      <c r="Z95" s="39"/>
      <c r="AA95" s="39"/>
      <c r="AB95" s="39"/>
      <c r="AC95" s="39"/>
      <c r="AD95" s="48"/>
      <c r="AE95" s="39"/>
      <c r="AF95" s="39"/>
      <c r="AG95" s="39"/>
      <c r="AH95" s="39"/>
      <c r="AI95" s="39"/>
      <c r="AJ95" s="39"/>
      <c r="AK95" s="39"/>
      <c r="AL95" s="39"/>
      <c r="AM95" s="48"/>
      <c r="AN95" s="39"/>
      <c r="AO95" s="39"/>
      <c r="AP95" s="39"/>
      <c r="AQ95" s="39"/>
      <c r="AR95" s="39"/>
      <c r="AS95" s="39"/>
      <c r="AT95" s="39"/>
      <c r="AU95" s="39"/>
      <c r="AV95" s="39"/>
    </row>
    <row r="96" ht="15.75" customHeight="1">
      <c r="A96" s="39" t="s">
        <v>111</v>
      </c>
      <c r="B96" s="39">
        <f>B84*D96</f>
        <v>0</v>
      </c>
      <c r="C96" s="41" t="s">
        <v>75</v>
      </c>
      <c r="D96" s="42">
        <v>0.0</v>
      </c>
      <c r="E96" s="43">
        <f>B96*'COSTOS '!$E15</f>
        <v>0</v>
      </c>
      <c r="F96" s="43"/>
      <c r="G96" s="39"/>
      <c r="H96" s="39"/>
      <c r="I96" s="39"/>
      <c r="J96" s="48"/>
      <c r="K96" s="48"/>
      <c r="L96" s="39"/>
      <c r="M96" s="39"/>
      <c r="N96" s="39"/>
      <c r="O96" s="39"/>
      <c r="P96" s="39"/>
      <c r="Q96" s="39"/>
      <c r="R96" s="39"/>
      <c r="S96" s="39"/>
      <c r="T96" s="48"/>
      <c r="U96" s="48"/>
      <c r="V96" s="39"/>
      <c r="W96" s="39"/>
      <c r="X96" s="39"/>
      <c r="Y96" s="39"/>
      <c r="Z96" s="39"/>
      <c r="AA96" s="39"/>
      <c r="AB96" s="39"/>
      <c r="AC96" s="39"/>
      <c r="AD96" s="48"/>
      <c r="AE96" s="39"/>
      <c r="AF96" s="39"/>
      <c r="AG96" s="39"/>
      <c r="AH96" s="39"/>
      <c r="AI96" s="39"/>
      <c r="AJ96" s="39"/>
      <c r="AK96" s="39"/>
      <c r="AL96" s="39"/>
      <c r="AM96" s="48"/>
      <c r="AN96" s="39"/>
      <c r="AO96" s="39"/>
      <c r="AP96" s="39"/>
      <c r="AQ96" s="39"/>
      <c r="AR96" s="39"/>
      <c r="AS96" s="39"/>
      <c r="AT96" s="39"/>
      <c r="AU96" s="39"/>
      <c r="AV96" s="39"/>
    </row>
    <row r="97" ht="15.75" customHeight="1">
      <c r="A97" s="39"/>
      <c r="B97" s="39"/>
      <c r="C97" s="39"/>
      <c r="D97" s="39"/>
      <c r="E97" s="39"/>
      <c r="F97" s="43"/>
      <c r="G97" s="39"/>
      <c r="H97" s="39"/>
      <c r="I97" s="39"/>
      <c r="J97" s="48"/>
      <c r="K97" s="48"/>
      <c r="L97" s="39"/>
      <c r="M97" s="39"/>
      <c r="N97" s="39"/>
      <c r="O97" s="39"/>
      <c r="P97" s="39"/>
      <c r="Q97" s="39"/>
      <c r="R97" s="39"/>
      <c r="S97" s="39"/>
      <c r="T97" s="48"/>
      <c r="U97" s="48"/>
      <c r="V97" s="39"/>
      <c r="W97" s="39"/>
      <c r="X97" s="39"/>
      <c r="Y97" s="39"/>
      <c r="Z97" s="39"/>
      <c r="AA97" s="39"/>
      <c r="AB97" s="39"/>
      <c r="AC97" s="39"/>
      <c r="AD97" s="48"/>
      <c r="AE97" s="39"/>
      <c r="AF97" s="39"/>
      <c r="AG97" s="39"/>
      <c r="AH97" s="39"/>
      <c r="AI97" s="39"/>
      <c r="AJ97" s="39"/>
      <c r="AK97" s="39"/>
      <c r="AL97" s="39"/>
      <c r="AM97" s="48"/>
      <c r="AN97" s="39"/>
      <c r="AO97" s="39"/>
      <c r="AP97" s="39"/>
      <c r="AQ97" s="39"/>
      <c r="AR97" s="39"/>
      <c r="AS97" s="39"/>
      <c r="AT97" s="39"/>
      <c r="AU97" s="39"/>
      <c r="AV97" s="39"/>
    </row>
    <row r="98" ht="15.75" customHeight="1">
      <c r="A98" s="45" t="s">
        <v>113</v>
      </c>
      <c r="E98" s="39"/>
      <c r="F98" s="43"/>
      <c r="G98" s="39"/>
      <c r="H98" s="39"/>
      <c r="I98" s="39"/>
      <c r="J98" s="48"/>
      <c r="K98" s="48"/>
      <c r="L98" s="39"/>
      <c r="M98" s="39"/>
      <c r="N98" s="39"/>
      <c r="O98" s="39"/>
      <c r="P98" s="39"/>
      <c r="Q98" s="39"/>
      <c r="R98" s="39"/>
      <c r="S98" s="39"/>
      <c r="T98" s="48"/>
      <c r="U98" s="48"/>
      <c r="V98" s="39"/>
      <c r="W98" s="39"/>
      <c r="X98" s="39"/>
      <c r="Y98" s="39"/>
      <c r="Z98" s="39"/>
      <c r="AA98" s="39"/>
      <c r="AB98" s="39"/>
      <c r="AC98" s="39"/>
      <c r="AD98" s="48"/>
      <c r="AE98" s="39"/>
      <c r="AF98" s="39"/>
      <c r="AG98" s="39"/>
      <c r="AH98" s="39"/>
      <c r="AI98" s="39"/>
      <c r="AJ98" s="39"/>
      <c r="AK98" s="39"/>
      <c r="AL98" s="39"/>
      <c r="AM98" s="48"/>
      <c r="AN98" s="39"/>
      <c r="AO98" s="39"/>
      <c r="AP98" s="39"/>
      <c r="AQ98" s="39"/>
      <c r="AR98" s="39"/>
      <c r="AS98" s="39"/>
      <c r="AT98" s="39"/>
      <c r="AU98" s="39"/>
      <c r="AV98" s="39"/>
    </row>
    <row r="99" ht="15.75" customHeight="1">
      <c r="A99" s="39" t="s">
        <v>17</v>
      </c>
      <c r="B99" s="40">
        <v>3000.0</v>
      </c>
      <c r="C99" s="41" t="s">
        <v>75</v>
      </c>
      <c r="D99" s="42">
        <v>1.0</v>
      </c>
      <c r="E99" s="43">
        <f>B99*'COSTOS '!$E5</f>
        <v>10740</v>
      </c>
      <c r="F99" s="43"/>
      <c r="G99" s="39" t="s">
        <v>31</v>
      </c>
      <c r="H99" s="39"/>
      <c r="I99" s="44">
        <f>SUM(B99:B107)</f>
        <v>5370</v>
      </c>
      <c r="J99" s="48"/>
      <c r="K99" s="48"/>
      <c r="L99" s="39"/>
      <c r="M99" s="39"/>
      <c r="N99" s="39"/>
      <c r="O99" s="39"/>
      <c r="P99" s="39"/>
      <c r="Q99" s="39"/>
      <c r="R99" s="39"/>
      <c r="S99" s="39"/>
      <c r="T99" s="48"/>
      <c r="U99" s="48"/>
      <c r="V99" s="39"/>
      <c r="W99" s="39"/>
      <c r="X99" s="39"/>
      <c r="Y99" s="39"/>
      <c r="Z99" s="39"/>
      <c r="AA99" s="39"/>
      <c r="AB99" s="39"/>
      <c r="AC99" s="39"/>
      <c r="AD99" s="48"/>
      <c r="AE99" s="39"/>
      <c r="AF99" s="39"/>
      <c r="AG99" s="39"/>
      <c r="AH99" s="39"/>
      <c r="AI99" s="39"/>
      <c r="AJ99" s="39"/>
      <c r="AK99" s="39"/>
      <c r="AL99" s="39"/>
      <c r="AM99" s="48"/>
      <c r="AN99" s="39"/>
      <c r="AO99" s="39"/>
      <c r="AP99" s="39"/>
      <c r="AQ99" s="39"/>
      <c r="AR99" s="39"/>
      <c r="AS99" s="39"/>
      <c r="AT99" s="39"/>
      <c r="AU99" s="39"/>
      <c r="AV99" s="39"/>
    </row>
    <row r="100" ht="15.75" customHeight="1">
      <c r="A100" s="39" t="s">
        <v>18</v>
      </c>
      <c r="B100" s="39">
        <f>B99*D100</f>
        <v>420</v>
      </c>
      <c r="C100" s="41" t="s">
        <v>75</v>
      </c>
      <c r="D100" s="42">
        <v>0.14</v>
      </c>
      <c r="E100" s="43">
        <f>B100*'COSTOS '!$E6</f>
        <v>1764</v>
      </c>
      <c r="F100" s="43"/>
      <c r="G100" s="39" t="s">
        <v>33</v>
      </c>
      <c r="H100" s="39"/>
      <c r="I100" s="48">
        <v>250.0</v>
      </c>
      <c r="J100" s="39"/>
      <c r="K100" s="48"/>
      <c r="L100" s="39"/>
      <c r="M100" s="39"/>
      <c r="N100" s="39"/>
      <c r="O100" s="39"/>
      <c r="P100" s="39"/>
      <c r="Q100" s="39"/>
      <c r="R100" s="39"/>
      <c r="S100" s="39"/>
      <c r="T100" s="48"/>
      <c r="U100" s="48"/>
      <c r="V100" s="39"/>
      <c r="W100" s="39"/>
      <c r="X100" s="39"/>
      <c r="Y100" s="39"/>
      <c r="Z100" s="39"/>
      <c r="AA100" s="39"/>
      <c r="AB100" s="39"/>
      <c r="AC100" s="39"/>
      <c r="AD100" s="48"/>
      <c r="AE100" s="39"/>
      <c r="AF100" s="39"/>
      <c r="AG100" s="39"/>
      <c r="AH100" s="39"/>
      <c r="AI100" s="39"/>
      <c r="AJ100" s="39"/>
      <c r="AK100" s="39"/>
      <c r="AL100" s="39"/>
      <c r="AM100" s="48"/>
      <c r="AN100" s="39"/>
      <c r="AO100" s="39"/>
      <c r="AP100" s="39"/>
      <c r="AQ100" s="39"/>
      <c r="AR100" s="39"/>
      <c r="AS100" s="39"/>
      <c r="AT100" s="39"/>
      <c r="AU100" s="39"/>
      <c r="AV100" s="39"/>
    </row>
    <row r="101" ht="15.75" customHeight="1">
      <c r="A101" s="39" t="s">
        <v>19</v>
      </c>
      <c r="B101" s="39">
        <f>B99*D101</f>
        <v>240</v>
      </c>
      <c r="C101" s="41" t="s">
        <v>75</v>
      </c>
      <c r="D101" s="42">
        <v>0.08</v>
      </c>
      <c r="E101" s="43">
        <f>B101*'COSTOS '!$E7</f>
        <v>2986.666667</v>
      </c>
      <c r="F101" s="43"/>
      <c r="G101" s="39" t="s">
        <v>36</v>
      </c>
      <c r="H101" s="39"/>
      <c r="I101" s="48">
        <f>I107/36</f>
        <v>30.55555556</v>
      </c>
      <c r="J101" s="39"/>
      <c r="K101" s="48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</row>
    <row r="102" ht="15.75" customHeight="1">
      <c r="A102" s="39" t="s">
        <v>20</v>
      </c>
      <c r="B102" s="39">
        <f>B99*D102</f>
        <v>60</v>
      </c>
      <c r="C102" s="41" t="s">
        <v>75</v>
      </c>
      <c r="D102" s="42">
        <v>0.02</v>
      </c>
      <c r="E102" s="43">
        <f>B102*'COSTOS '!$E8</f>
        <v>112.5</v>
      </c>
      <c r="F102" s="43"/>
      <c r="G102" s="39" t="s">
        <v>38</v>
      </c>
      <c r="H102" s="39"/>
      <c r="I102" s="44">
        <f>I99/I101</f>
        <v>175.7454545</v>
      </c>
      <c r="J102" s="39"/>
      <c r="K102" s="48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</row>
    <row r="103" ht="15.75" customHeight="1">
      <c r="A103" s="39" t="s">
        <v>77</v>
      </c>
      <c r="B103" s="39">
        <f>B99*D103</f>
        <v>840</v>
      </c>
      <c r="C103" s="41" t="s">
        <v>75</v>
      </c>
      <c r="D103" s="42">
        <v>0.28</v>
      </c>
      <c r="E103" s="43">
        <f>B103*'COSTOS '!$E9</f>
        <v>6720</v>
      </c>
      <c r="F103" s="43"/>
      <c r="G103" s="39" t="s">
        <v>40</v>
      </c>
      <c r="H103" s="39"/>
      <c r="I103" s="44">
        <f>I102*I100</f>
        <v>43936.36364</v>
      </c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</row>
    <row r="104" ht="15.75" customHeight="1">
      <c r="A104" s="39" t="s">
        <v>78</v>
      </c>
      <c r="B104" s="39">
        <f>B99*D104</f>
        <v>30</v>
      </c>
      <c r="C104" s="41" t="s">
        <v>75</v>
      </c>
      <c r="D104" s="42">
        <v>0.01</v>
      </c>
      <c r="E104" s="43">
        <f>B104*'COSTOS '!$E10</f>
        <v>240</v>
      </c>
      <c r="F104" s="43"/>
      <c r="G104" s="39" t="s">
        <v>43</v>
      </c>
      <c r="H104" s="39"/>
      <c r="I104" s="48">
        <f>SUM(E99:E107)</f>
        <v>24843.76667</v>
      </c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</row>
    <row r="105" ht="15.75" customHeight="1">
      <c r="A105" s="39" t="s">
        <v>23</v>
      </c>
      <c r="B105" s="39">
        <f>B99*D105</f>
        <v>120</v>
      </c>
      <c r="C105" s="41" t="s">
        <v>75</v>
      </c>
      <c r="D105" s="42">
        <v>0.04</v>
      </c>
      <c r="E105" s="43">
        <f>B105*'COSTOS '!$E11</f>
        <v>1272</v>
      </c>
      <c r="F105" s="43"/>
      <c r="G105" s="39" t="s">
        <v>45</v>
      </c>
      <c r="H105" s="39"/>
      <c r="I105" s="48">
        <v>22000.0</v>
      </c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</row>
    <row r="106" ht="15.75" customHeight="1">
      <c r="A106" s="39" t="s">
        <v>29</v>
      </c>
      <c r="B106" s="39">
        <f>B99*D106</f>
        <v>60</v>
      </c>
      <c r="C106" s="41" t="s">
        <v>75</v>
      </c>
      <c r="D106" s="42">
        <v>0.02</v>
      </c>
      <c r="E106" s="43">
        <f>B106*'COSTOS '!$E17</f>
        <v>1008</v>
      </c>
      <c r="F106" s="43"/>
      <c r="G106" s="39" t="s">
        <v>53</v>
      </c>
      <c r="H106" s="39"/>
      <c r="I106" s="48">
        <f>I103-I104-I105</f>
        <v>-2907.40303</v>
      </c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</row>
    <row r="107" ht="15.75" customHeight="1">
      <c r="A107" s="39" t="s">
        <v>58</v>
      </c>
      <c r="B107" s="39">
        <f>B99*D107</f>
        <v>600</v>
      </c>
      <c r="C107" s="41" t="s">
        <v>75</v>
      </c>
      <c r="D107" s="42">
        <v>0.2</v>
      </c>
      <c r="E107" s="43">
        <f>B107*'COSTOS '!$E32</f>
        <v>0.6</v>
      </c>
      <c r="F107" s="43"/>
      <c r="G107" s="39" t="s">
        <v>79</v>
      </c>
      <c r="H107" s="39"/>
      <c r="I107" s="49">
        <v>1100.0</v>
      </c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</row>
    <row r="108" ht="15.75" customHeight="1">
      <c r="A108" s="39" t="s">
        <v>111</v>
      </c>
      <c r="B108" s="39">
        <f>B99*D108</f>
        <v>240</v>
      </c>
      <c r="C108" s="41" t="s">
        <v>75</v>
      </c>
      <c r="D108" s="42">
        <v>0.08</v>
      </c>
      <c r="E108" s="43">
        <f>B108*'COSTOS '!$E15</f>
        <v>1701.818182</v>
      </c>
      <c r="F108" s="43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</row>
    <row r="109" ht="15.75" customHeight="1">
      <c r="A109" s="39"/>
      <c r="B109" s="39"/>
      <c r="C109" s="41"/>
      <c r="D109" s="42"/>
      <c r="E109" s="43"/>
      <c r="F109" s="43"/>
      <c r="G109" s="39" t="s">
        <v>114</v>
      </c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</row>
    <row r="110" ht="15.75" customHeight="1">
      <c r="A110" s="39"/>
      <c r="B110" s="39"/>
      <c r="C110" s="41"/>
      <c r="D110" s="42"/>
      <c r="E110" s="43"/>
      <c r="F110" s="43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</row>
    <row r="111" ht="15.75" customHeight="1">
      <c r="A111" s="39"/>
      <c r="B111" s="39"/>
      <c r="C111" s="41"/>
      <c r="D111" s="42"/>
      <c r="E111" s="43"/>
      <c r="F111" s="43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</row>
    <row r="112" ht="15.75" customHeight="1">
      <c r="A112" s="39"/>
      <c r="B112" s="39"/>
      <c r="C112" s="41"/>
      <c r="D112" s="42"/>
      <c r="E112" s="43"/>
      <c r="F112" s="43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</row>
    <row r="113" ht="15.75" customHeight="1">
      <c r="A113" s="39"/>
      <c r="B113" s="39"/>
      <c r="C113" s="41"/>
      <c r="D113" s="42"/>
      <c r="E113" s="43"/>
      <c r="F113" s="43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</row>
    <row r="114" ht="15.75" customHeight="1">
      <c r="A114" s="39"/>
      <c r="B114" s="39"/>
      <c r="C114" s="41"/>
      <c r="D114" s="42"/>
      <c r="E114" s="43"/>
      <c r="F114" s="43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</row>
    <row r="115" ht="15.75" customHeight="1">
      <c r="A115" s="39"/>
      <c r="B115" s="39"/>
      <c r="C115" s="41"/>
      <c r="D115" s="42"/>
      <c r="E115" s="43"/>
      <c r="F115" s="43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</row>
    <row r="116" ht="15.75" customHeight="1">
      <c r="A116" s="39"/>
      <c r="B116" s="39"/>
      <c r="C116" s="39"/>
      <c r="D116" s="39"/>
      <c r="E116" s="39"/>
      <c r="F116" s="43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</row>
    <row r="117" ht="15.75" customHeight="1">
      <c r="A117" s="45" t="s">
        <v>115</v>
      </c>
      <c r="E117" s="39"/>
      <c r="F117" s="43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</row>
    <row r="118" ht="15.75" customHeight="1">
      <c r="A118" s="39" t="s">
        <v>17</v>
      </c>
      <c r="B118" s="40">
        <v>3250.0</v>
      </c>
      <c r="C118" s="41" t="s">
        <v>75</v>
      </c>
      <c r="D118" s="42">
        <v>1.0</v>
      </c>
      <c r="E118" s="43">
        <f>B118*'COSTOS '!$E5</f>
        <v>11635</v>
      </c>
      <c r="F118" s="43"/>
      <c r="G118" s="39" t="s">
        <v>31</v>
      </c>
      <c r="H118" s="39"/>
      <c r="I118" s="44">
        <f>SUM(B118:B127)</f>
        <v>7345</v>
      </c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</row>
    <row r="119" ht="15.75" customHeight="1">
      <c r="A119" s="39" t="s">
        <v>116</v>
      </c>
      <c r="B119" s="39">
        <f>B118*D119</f>
        <v>2112.5</v>
      </c>
      <c r="C119" s="41" t="s">
        <v>75</v>
      </c>
      <c r="D119" s="46">
        <v>0.65</v>
      </c>
      <c r="E119" s="43">
        <f>B119*'COSTOS '!$E6</f>
        <v>8872.5</v>
      </c>
      <c r="F119" s="43"/>
      <c r="G119" s="39" t="s">
        <v>33</v>
      </c>
      <c r="H119" s="39"/>
      <c r="I119" s="48">
        <v>400.0</v>
      </c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</row>
    <row r="120" ht="15.75" customHeight="1">
      <c r="A120" s="39" t="s">
        <v>77</v>
      </c>
      <c r="B120" s="39">
        <f>B118*D120</f>
        <v>585</v>
      </c>
      <c r="C120" s="41" t="s">
        <v>75</v>
      </c>
      <c r="D120" s="42">
        <v>0.18</v>
      </c>
      <c r="E120" s="43">
        <f>B120*'COSTOS '!$E9</f>
        <v>4680</v>
      </c>
      <c r="F120" s="43"/>
      <c r="G120" s="39" t="s">
        <v>36</v>
      </c>
      <c r="H120" s="39"/>
      <c r="I120" s="48">
        <f>I126/36</f>
        <v>30.55555556</v>
      </c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</row>
    <row r="121" ht="15.75" customHeight="1">
      <c r="A121" s="39" t="s">
        <v>117</v>
      </c>
      <c r="B121" s="39">
        <f>B118*D121</f>
        <v>32.5</v>
      </c>
      <c r="C121" s="41" t="s">
        <v>75</v>
      </c>
      <c r="D121" s="42">
        <v>0.01</v>
      </c>
      <c r="E121" s="43">
        <f>B121*'COSTOS '!$E10</f>
        <v>260</v>
      </c>
      <c r="F121" s="43"/>
      <c r="G121" s="39" t="s">
        <v>38</v>
      </c>
      <c r="H121" s="39"/>
      <c r="I121" s="44">
        <f>I118/I120</f>
        <v>240.3818182</v>
      </c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</row>
    <row r="122" ht="15.75" customHeight="1">
      <c r="A122" s="39" t="s">
        <v>23</v>
      </c>
      <c r="B122" s="39">
        <f>B118*D122</f>
        <v>130</v>
      </c>
      <c r="C122" s="41" t="s">
        <v>75</v>
      </c>
      <c r="D122" s="42">
        <v>0.04</v>
      </c>
      <c r="E122" s="43">
        <f>B122*'COSTOS '!$E11</f>
        <v>1378</v>
      </c>
      <c r="F122" s="43"/>
      <c r="G122" s="39" t="s">
        <v>40</v>
      </c>
      <c r="H122" s="39"/>
      <c r="I122" s="44">
        <f>I121*I119</f>
        <v>96152.72727</v>
      </c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</row>
    <row r="123" ht="15.75" customHeight="1">
      <c r="A123" s="39" t="s">
        <v>118</v>
      </c>
      <c r="B123" s="39">
        <f>B118*D123</f>
        <v>32.5</v>
      </c>
      <c r="C123" s="41" t="s">
        <v>75</v>
      </c>
      <c r="D123" s="42">
        <v>0.01</v>
      </c>
      <c r="E123" s="43">
        <f>B123*'COSTOS '!$E13</f>
        <v>799.5</v>
      </c>
      <c r="F123" s="39"/>
      <c r="G123" s="39" t="s">
        <v>43</v>
      </c>
      <c r="H123" s="39"/>
      <c r="I123" s="48">
        <f>SUM(E118:E126)</f>
        <v>28058.83167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</row>
    <row r="124" ht="15.75" customHeight="1">
      <c r="A124" s="39" t="s">
        <v>32</v>
      </c>
      <c r="B124" s="39">
        <f>B118*D124</f>
        <v>32.5</v>
      </c>
      <c r="C124" s="41" t="s">
        <v>75</v>
      </c>
      <c r="D124" s="42">
        <v>0.01</v>
      </c>
      <c r="E124" s="43">
        <f>B124*'COSTOS '!$E19</f>
        <v>338</v>
      </c>
      <c r="F124" s="43"/>
      <c r="G124" s="39" t="s">
        <v>45</v>
      </c>
      <c r="H124" s="39"/>
      <c r="I124" s="48">
        <v>22000.0</v>
      </c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</row>
    <row r="125" ht="15.75" customHeight="1">
      <c r="A125" s="39" t="s">
        <v>119</v>
      </c>
      <c r="B125" s="39">
        <f>B118*D125</f>
        <v>65</v>
      </c>
      <c r="C125" s="41" t="s">
        <v>75</v>
      </c>
      <c r="D125" s="42">
        <v>0.02</v>
      </c>
      <c r="E125" s="43">
        <f>B125*'COSTOS '!$E21</f>
        <v>94.79166667</v>
      </c>
      <c r="F125" s="43"/>
      <c r="G125" s="39" t="s">
        <v>53</v>
      </c>
      <c r="H125" s="39"/>
      <c r="I125" s="48">
        <f>I122-I123-I124</f>
        <v>46093.89561</v>
      </c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</row>
    <row r="126" ht="15.75" customHeight="1">
      <c r="A126" s="39" t="s">
        <v>58</v>
      </c>
      <c r="B126" s="39">
        <f>B118*D126</f>
        <v>1040</v>
      </c>
      <c r="C126" s="41" t="s">
        <v>75</v>
      </c>
      <c r="D126" s="42">
        <v>0.32</v>
      </c>
      <c r="E126" s="43">
        <f>B126*'COSTOS '!$E32</f>
        <v>1.04</v>
      </c>
      <c r="F126" s="43"/>
      <c r="G126" s="39" t="s">
        <v>79</v>
      </c>
      <c r="H126" s="39"/>
      <c r="I126" s="48">
        <v>1100.0</v>
      </c>
      <c r="J126" s="55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</row>
    <row r="127" ht="15.75" customHeight="1">
      <c r="A127" s="39" t="s">
        <v>120</v>
      </c>
      <c r="B127" s="39">
        <f>B118*D127</f>
        <v>65</v>
      </c>
      <c r="C127" s="41" t="s">
        <v>75</v>
      </c>
      <c r="D127" s="42">
        <v>0.02</v>
      </c>
      <c r="E127" s="39"/>
      <c r="F127" s="43"/>
      <c r="G127" s="39"/>
      <c r="H127" s="39"/>
      <c r="I127" s="48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</row>
    <row r="128" ht="15.75" customHeight="1">
      <c r="A128" s="39"/>
      <c r="B128" s="39"/>
      <c r="C128" s="39"/>
      <c r="D128" s="39"/>
      <c r="E128" s="39"/>
      <c r="F128" s="43"/>
      <c r="G128" s="39"/>
      <c r="H128" s="39"/>
      <c r="I128" s="48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</row>
    <row r="129" ht="15.75" customHeight="1">
      <c r="A129" s="39"/>
      <c r="B129" s="39"/>
      <c r="C129" s="39"/>
      <c r="D129" s="39"/>
      <c r="E129" s="39"/>
      <c r="F129" s="43"/>
      <c r="G129" s="39"/>
      <c r="H129" s="39"/>
      <c r="I129" s="48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</row>
    <row r="130" ht="15.75" customHeight="1">
      <c r="A130" s="39"/>
      <c r="B130" s="39"/>
      <c r="C130" s="39"/>
      <c r="D130" s="39"/>
      <c r="E130" s="39"/>
      <c r="F130" s="43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</row>
    <row r="131" ht="15.75" customHeight="1">
      <c r="A131" s="39"/>
      <c r="B131" s="39"/>
      <c r="C131" s="39"/>
      <c r="D131" s="39"/>
      <c r="E131" s="39"/>
      <c r="F131" s="43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</row>
    <row r="132" ht="15.75" customHeight="1">
      <c r="A132" s="39"/>
      <c r="B132" s="39"/>
      <c r="C132" s="39"/>
      <c r="D132" s="39"/>
      <c r="E132" s="39"/>
      <c r="F132" s="43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</row>
    <row r="133" ht="15.75" customHeight="1">
      <c r="A133" s="45" t="s">
        <v>121</v>
      </c>
      <c r="E133" s="39"/>
      <c r="F133" s="43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</row>
    <row r="134" ht="15.75" customHeight="1">
      <c r="A134" s="39" t="s">
        <v>17</v>
      </c>
      <c r="B134" s="40">
        <v>7000.0</v>
      </c>
      <c r="C134" s="41" t="s">
        <v>75</v>
      </c>
      <c r="D134" s="42">
        <v>1.0</v>
      </c>
      <c r="E134" s="43">
        <f>B134*'COSTOS '!$E5</f>
        <v>25060</v>
      </c>
      <c r="F134" s="43"/>
      <c r="G134" s="39" t="s">
        <v>31</v>
      </c>
      <c r="H134" s="36"/>
      <c r="I134" s="44">
        <f>SUM(B134:B143)</f>
        <v>12880</v>
      </c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</row>
    <row r="135" ht="15.75" customHeight="1">
      <c r="A135" s="39" t="s">
        <v>18</v>
      </c>
      <c r="B135" s="39">
        <f>B134*D135</f>
        <v>910</v>
      </c>
      <c r="C135" s="41" t="s">
        <v>75</v>
      </c>
      <c r="D135" s="42">
        <v>0.13</v>
      </c>
      <c r="E135" s="43">
        <f>B135*'COSTOS '!$E6</f>
        <v>3822</v>
      </c>
      <c r="F135" s="43"/>
      <c r="G135" s="39" t="s">
        <v>33</v>
      </c>
      <c r="H135" s="36"/>
      <c r="I135" s="49">
        <v>428.0</v>
      </c>
      <c r="J135" s="39">
        <f>3000/7</f>
        <v>428.5714286</v>
      </c>
      <c r="K135" s="39">
        <f>5000/12</f>
        <v>416.6666667</v>
      </c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</row>
    <row r="136" ht="15.75" customHeight="1">
      <c r="A136" s="39" t="s">
        <v>19</v>
      </c>
      <c r="B136" s="39">
        <f>B134*D136</f>
        <v>490</v>
      </c>
      <c r="C136" s="41" t="s">
        <v>75</v>
      </c>
      <c r="D136" s="42">
        <v>0.07</v>
      </c>
      <c r="E136" s="43">
        <f>B136*'COSTOS '!$E7</f>
        <v>6097.777778</v>
      </c>
      <c r="F136" s="43"/>
      <c r="G136" s="39" t="s">
        <v>36</v>
      </c>
      <c r="H136" s="36"/>
      <c r="I136" s="48">
        <f>I142/36</f>
        <v>36.11111111</v>
      </c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</row>
    <row r="137" ht="15.75" customHeight="1">
      <c r="A137" s="39" t="s">
        <v>20</v>
      </c>
      <c r="B137" s="39">
        <f>B134*D137</f>
        <v>140</v>
      </c>
      <c r="C137" s="41" t="s">
        <v>75</v>
      </c>
      <c r="D137" s="42">
        <v>0.02</v>
      </c>
      <c r="E137" s="43">
        <f>B137*'COSTOS '!$E8</f>
        <v>262.5</v>
      </c>
      <c r="F137" s="43"/>
      <c r="G137" s="39" t="s">
        <v>38</v>
      </c>
      <c r="H137" s="36"/>
      <c r="I137" s="44">
        <f>I134/I136</f>
        <v>356.6769231</v>
      </c>
      <c r="J137" s="39">
        <f>I137/36</f>
        <v>9.907692308</v>
      </c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</row>
    <row r="138" ht="15.75" customHeight="1">
      <c r="A138" s="39" t="s">
        <v>77</v>
      </c>
      <c r="B138" s="39">
        <f>B134*D138</f>
        <v>1890</v>
      </c>
      <c r="C138" s="41" t="s">
        <v>75</v>
      </c>
      <c r="D138" s="42">
        <v>0.27</v>
      </c>
      <c r="E138" s="43">
        <f>B138*'COSTOS '!$E9</f>
        <v>15120</v>
      </c>
      <c r="F138" s="43"/>
      <c r="G138" s="39" t="s">
        <v>40</v>
      </c>
      <c r="H138" s="36"/>
      <c r="I138" s="44">
        <f>I137*I135</f>
        <v>152657.7231</v>
      </c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</row>
    <row r="139" ht="15.75" customHeight="1">
      <c r="A139" s="39" t="s">
        <v>110</v>
      </c>
      <c r="B139" s="39">
        <f>B134*D139</f>
        <v>70</v>
      </c>
      <c r="C139" s="41" t="s">
        <v>75</v>
      </c>
      <c r="D139" s="42">
        <v>0.01</v>
      </c>
      <c r="E139" s="43">
        <f>B139*'COSTOS '!$E10</f>
        <v>560</v>
      </c>
      <c r="F139" s="43"/>
      <c r="G139" s="39" t="s">
        <v>43</v>
      </c>
      <c r="H139" s="36"/>
      <c r="I139" s="48">
        <f>SUM(E134:E143)</f>
        <v>54871.27778</v>
      </c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</row>
    <row r="140" ht="15.75" customHeight="1">
      <c r="A140" s="39" t="s">
        <v>23</v>
      </c>
      <c r="B140" s="39">
        <f>B134*D140</f>
        <v>210</v>
      </c>
      <c r="C140" s="41" t="s">
        <v>75</v>
      </c>
      <c r="D140" s="42">
        <v>0.03</v>
      </c>
      <c r="E140" s="43">
        <f>B140*'COSTOS '!$E11</f>
        <v>2226</v>
      </c>
      <c r="F140" s="43"/>
      <c r="G140" s="39" t="s">
        <v>45</v>
      </c>
      <c r="H140" s="36"/>
      <c r="I140" s="49">
        <v>25000.0</v>
      </c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</row>
    <row r="141" ht="15.75" customHeight="1">
      <c r="A141" s="39" t="s">
        <v>25</v>
      </c>
      <c r="B141" s="39">
        <f>B134*D141</f>
        <v>70</v>
      </c>
      <c r="C141" s="41" t="s">
        <v>75</v>
      </c>
      <c r="D141" s="42">
        <v>0.01</v>
      </c>
      <c r="E141" s="43">
        <f>B141*'COSTOS '!$E13</f>
        <v>1722</v>
      </c>
      <c r="F141" s="43"/>
      <c r="G141" s="39" t="s">
        <v>53</v>
      </c>
      <c r="H141" s="36"/>
      <c r="I141" s="48">
        <f>I138-I139-I140</f>
        <v>72786.4453</v>
      </c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</row>
    <row r="142" ht="15.75" customHeight="1">
      <c r="A142" s="39" t="s">
        <v>29</v>
      </c>
      <c r="B142" s="39">
        <f>B134*D142</f>
        <v>0</v>
      </c>
      <c r="C142" s="41" t="s">
        <v>75</v>
      </c>
      <c r="D142" s="42">
        <v>0.0</v>
      </c>
      <c r="E142" s="43">
        <f>B142*'COSTOS '!$E17</f>
        <v>0</v>
      </c>
      <c r="F142" s="43"/>
      <c r="G142" s="39" t="s">
        <v>79</v>
      </c>
      <c r="H142" s="36"/>
      <c r="I142" s="49">
        <v>1300.0</v>
      </c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</row>
    <row r="143" ht="15.75" customHeight="1">
      <c r="A143" s="39" t="s">
        <v>58</v>
      </c>
      <c r="B143" s="39">
        <f>B134*D143</f>
        <v>2100</v>
      </c>
      <c r="C143" s="41" t="s">
        <v>75</v>
      </c>
      <c r="D143" s="42">
        <v>0.3</v>
      </c>
      <c r="E143" s="43">
        <v>1.0</v>
      </c>
      <c r="F143" s="43"/>
      <c r="G143" s="39"/>
      <c r="H143" s="36"/>
      <c r="I143" s="48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</row>
    <row r="144" ht="15.75" customHeight="1">
      <c r="A144" s="39"/>
      <c r="B144" s="39"/>
      <c r="C144" s="41"/>
      <c r="D144" s="42"/>
      <c r="E144" s="43"/>
      <c r="F144" s="43"/>
      <c r="G144" s="39"/>
      <c r="H144" s="36"/>
      <c r="I144" s="48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</row>
    <row r="145" ht="15.75" customHeight="1">
      <c r="A145" s="39"/>
      <c r="B145" s="39"/>
      <c r="C145" s="41"/>
      <c r="D145" s="42"/>
      <c r="E145" s="43"/>
      <c r="F145" s="43"/>
      <c r="G145" s="39"/>
      <c r="H145" s="36"/>
      <c r="I145" s="48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</row>
    <row r="146" ht="15.75" customHeight="1">
      <c r="A146" s="39"/>
      <c r="B146" s="39"/>
      <c r="C146" s="41"/>
      <c r="D146" s="42"/>
      <c r="E146" s="43"/>
      <c r="F146" s="43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</row>
    <row r="147" ht="15.75" customHeight="1">
      <c r="A147" s="39"/>
      <c r="B147" s="39"/>
      <c r="C147" s="41"/>
      <c r="D147" s="42"/>
      <c r="E147" s="43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</row>
    <row r="148" ht="15.75" customHeight="1">
      <c r="A148" s="39"/>
      <c r="B148" s="39"/>
      <c r="C148" s="41"/>
      <c r="D148" s="42"/>
      <c r="E148" s="43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</row>
    <row r="149" ht="15.75" customHeight="1">
      <c r="A149" s="45" t="s">
        <v>122</v>
      </c>
      <c r="E149" s="39"/>
      <c r="F149" s="39"/>
      <c r="G149" s="39"/>
      <c r="H149" s="39"/>
      <c r="I149" s="39"/>
      <c r="J149" s="39"/>
      <c r="K149" s="40" t="s">
        <v>123</v>
      </c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</row>
    <row r="150" ht="15.75" customHeight="1">
      <c r="A150" s="39" t="s">
        <v>17</v>
      </c>
      <c r="B150" s="40">
        <v>8000.0</v>
      </c>
      <c r="C150" s="41" t="s">
        <v>75</v>
      </c>
      <c r="D150" s="42">
        <v>1.0</v>
      </c>
      <c r="E150" s="43">
        <f>B150*'COSTOS '!$E5</f>
        <v>28640</v>
      </c>
      <c r="F150" s="39"/>
      <c r="G150" s="39" t="s">
        <v>31</v>
      </c>
      <c r="H150" s="39"/>
      <c r="I150" s="44">
        <f>SUM(B150:B163)</f>
        <v>22060</v>
      </c>
      <c r="J150" s="39"/>
      <c r="K150" s="39" t="s">
        <v>17</v>
      </c>
      <c r="L150" s="40">
        <v>4500.0</v>
      </c>
      <c r="M150" s="41" t="s">
        <v>75</v>
      </c>
      <c r="N150" s="42">
        <v>1.0</v>
      </c>
      <c r="O150" s="43">
        <f>L150*'COSTOS '!$E5</f>
        <v>16110</v>
      </c>
      <c r="P150" s="39"/>
      <c r="Q150" s="39" t="s">
        <v>31</v>
      </c>
      <c r="R150" s="39"/>
      <c r="S150" s="44">
        <f>SUM(L150:L161)-L160</f>
        <v>10935</v>
      </c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</row>
    <row r="151" ht="15.75" customHeight="1">
      <c r="A151" s="39" t="s">
        <v>18</v>
      </c>
      <c r="B151" s="39">
        <f>B150*D151</f>
        <v>1120</v>
      </c>
      <c r="C151" s="41" t="s">
        <v>75</v>
      </c>
      <c r="D151" s="46">
        <v>0.14</v>
      </c>
      <c r="E151" s="43">
        <f>B151*'COSTOS '!$E6</f>
        <v>4704</v>
      </c>
      <c r="F151" s="39"/>
      <c r="G151" s="39" t="s">
        <v>33</v>
      </c>
      <c r="H151" s="39"/>
      <c r="I151" s="48">
        <v>400.0</v>
      </c>
      <c r="J151" s="39"/>
      <c r="K151" s="39" t="s">
        <v>18</v>
      </c>
      <c r="L151" s="39">
        <f>L150*N151</f>
        <v>855</v>
      </c>
      <c r="M151" s="41" t="s">
        <v>75</v>
      </c>
      <c r="N151" s="46">
        <v>0.19</v>
      </c>
      <c r="O151" s="43">
        <f>L151*'COSTOS '!$E6</f>
        <v>3591</v>
      </c>
      <c r="P151" s="39"/>
      <c r="Q151" s="39" t="s">
        <v>33</v>
      </c>
      <c r="R151" s="39"/>
      <c r="S151" s="49">
        <v>1000.0</v>
      </c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</row>
    <row r="152" ht="15.75" customHeight="1">
      <c r="A152" s="39" t="s">
        <v>19</v>
      </c>
      <c r="B152" s="39">
        <f>B150*D152</f>
        <v>400</v>
      </c>
      <c r="C152" s="41" t="s">
        <v>75</v>
      </c>
      <c r="D152" s="46">
        <v>0.05</v>
      </c>
      <c r="E152" s="43">
        <f>B152*'COSTOS '!$E7</f>
        <v>4977.777778</v>
      </c>
      <c r="F152" s="39"/>
      <c r="G152" s="39" t="s">
        <v>36</v>
      </c>
      <c r="H152" s="39"/>
      <c r="I152" s="48">
        <f>I158/36</f>
        <v>38.88888889</v>
      </c>
      <c r="J152" s="39"/>
      <c r="K152" s="39" t="s">
        <v>19</v>
      </c>
      <c r="L152" s="39">
        <f>L150*N152</f>
        <v>360</v>
      </c>
      <c r="M152" s="41" t="s">
        <v>75</v>
      </c>
      <c r="N152" s="46">
        <v>0.08</v>
      </c>
      <c r="O152" s="43">
        <f>L152*'COSTOS '!$E7</f>
        <v>4480</v>
      </c>
      <c r="P152" s="39"/>
      <c r="Q152" s="39" t="s">
        <v>36</v>
      </c>
      <c r="R152" s="39"/>
      <c r="S152" s="48">
        <f>S158/36</f>
        <v>41.66666667</v>
      </c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</row>
    <row r="153" ht="15.75" customHeight="1">
      <c r="A153" s="39" t="s">
        <v>20</v>
      </c>
      <c r="B153" s="39">
        <f>B150*D153</f>
        <v>160</v>
      </c>
      <c r="C153" s="41" t="s">
        <v>75</v>
      </c>
      <c r="D153" s="42">
        <v>0.02</v>
      </c>
      <c r="E153" s="43">
        <f>B153*'COSTOS '!$E8</f>
        <v>300</v>
      </c>
      <c r="F153" s="39"/>
      <c r="G153" s="39" t="s">
        <v>38</v>
      </c>
      <c r="H153" s="39"/>
      <c r="I153" s="44">
        <f>I150/I152</f>
        <v>567.2571429</v>
      </c>
      <c r="J153" s="39">
        <f>I153/28</f>
        <v>20.25918367</v>
      </c>
      <c r="K153" s="39" t="s">
        <v>20</v>
      </c>
      <c r="L153" s="39">
        <f>L150*N153</f>
        <v>135</v>
      </c>
      <c r="M153" s="41" t="s">
        <v>75</v>
      </c>
      <c r="N153" s="46">
        <v>0.03</v>
      </c>
      <c r="O153" s="43">
        <f>L153*'COSTOS '!$E8</f>
        <v>253.125</v>
      </c>
      <c r="P153" s="39"/>
      <c r="Q153" s="39" t="s">
        <v>38</v>
      </c>
      <c r="R153" s="39"/>
      <c r="S153" s="44">
        <f>S150/S152</f>
        <v>262.44</v>
      </c>
      <c r="T153" s="39">
        <f>S153/28</f>
        <v>9.372857143</v>
      </c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</row>
    <row r="154" ht="15.75" customHeight="1">
      <c r="A154" s="39" t="s">
        <v>77</v>
      </c>
      <c r="B154" s="39">
        <f>B150*D154</f>
        <v>2240</v>
      </c>
      <c r="C154" s="41" t="s">
        <v>75</v>
      </c>
      <c r="D154" s="46">
        <v>0.28</v>
      </c>
      <c r="E154" s="43">
        <f>B154*'COSTOS '!$E9</f>
        <v>17920</v>
      </c>
      <c r="F154" s="39"/>
      <c r="G154" s="39" t="s">
        <v>40</v>
      </c>
      <c r="H154" s="39"/>
      <c r="I154" s="44">
        <f>I153*I151</f>
        <v>226902.8571</v>
      </c>
      <c r="J154" s="39"/>
      <c r="K154" s="39" t="s">
        <v>77</v>
      </c>
      <c r="L154" s="39">
        <f>L150*N154</f>
        <v>2340</v>
      </c>
      <c r="M154" s="41" t="s">
        <v>75</v>
      </c>
      <c r="N154" s="46">
        <v>0.52</v>
      </c>
      <c r="O154" s="43">
        <f>L154*'COSTOS '!$E9</f>
        <v>18720</v>
      </c>
      <c r="P154" s="39"/>
      <c r="Q154" s="39" t="s">
        <v>40</v>
      </c>
      <c r="R154" s="39"/>
      <c r="S154" s="44">
        <f>S153*S151</f>
        <v>262440</v>
      </c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</row>
    <row r="155" ht="15.75" customHeight="1">
      <c r="A155" s="39" t="s">
        <v>124</v>
      </c>
      <c r="B155" s="39">
        <f>B150*D155</f>
        <v>80</v>
      </c>
      <c r="C155" s="41" t="s">
        <v>75</v>
      </c>
      <c r="D155" s="42">
        <v>0.01</v>
      </c>
      <c r="E155" s="43">
        <f>B155*'COSTOS '!$E10</f>
        <v>640</v>
      </c>
      <c r="F155" s="39"/>
      <c r="G155" s="39" t="s">
        <v>43</v>
      </c>
      <c r="H155" s="39"/>
      <c r="I155" s="48">
        <f>SUM(E150:E163)</f>
        <v>88305.27778</v>
      </c>
      <c r="J155" s="39">
        <v>0.0</v>
      </c>
      <c r="K155" s="39" t="s">
        <v>124</v>
      </c>
      <c r="L155" s="39">
        <f>L150*N155</f>
        <v>45</v>
      </c>
      <c r="M155" s="41" t="s">
        <v>75</v>
      </c>
      <c r="N155" s="42">
        <v>0.01</v>
      </c>
      <c r="O155" s="43">
        <f>L155*'COSTOS '!$E10</f>
        <v>360</v>
      </c>
      <c r="P155" s="39"/>
      <c r="Q155" s="39" t="s">
        <v>43</v>
      </c>
      <c r="R155" s="39"/>
      <c r="S155" s="48">
        <f>SUM(O150:O161)</f>
        <v>79595.275</v>
      </c>
      <c r="T155" s="39">
        <v>0.0</v>
      </c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</row>
    <row r="156" ht="15.75" customHeight="1">
      <c r="A156" s="39" t="s">
        <v>23</v>
      </c>
      <c r="B156" s="39">
        <f>B150*D156</f>
        <v>160</v>
      </c>
      <c r="C156" s="41" t="s">
        <v>75</v>
      </c>
      <c r="D156" s="42">
        <v>0.02</v>
      </c>
      <c r="E156" s="43">
        <f>B156*'COSTOS '!$E11</f>
        <v>1696</v>
      </c>
      <c r="F156" s="39"/>
      <c r="G156" s="39" t="s">
        <v>45</v>
      </c>
      <c r="H156" s="39"/>
      <c r="I156" s="48">
        <v>22000.0</v>
      </c>
      <c r="J156" s="39"/>
      <c r="K156" s="39" t="s">
        <v>23</v>
      </c>
      <c r="L156" s="39">
        <f>L150*N156</f>
        <v>135</v>
      </c>
      <c r="M156" s="41" t="s">
        <v>75</v>
      </c>
      <c r="N156" s="46">
        <v>0.03</v>
      </c>
      <c r="O156" s="43">
        <f>L156*'COSTOS '!$E11</f>
        <v>1431</v>
      </c>
      <c r="P156" s="39"/>
      <c r="Q156" s="39" t="s">
        <v>45</v>
      </c>
      <c r="R156" s="39"/>
      <c r="S156" s="48">
        <v>22000.0</v>
      </c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</row>
    <row r="157" ht="15.75" customHeight="1">
      <c r="A157" s="39" t="s">
        <v>24</v>
      </c>
      <c r="B157" s="39">
        <f>B150*D157</f>
        <v>1280</v>
      </c>
      <c r="C157" s="41" t="s">
        <v>75</v>
      </c>
      <c r="D157" s="46">
        <v>0.16</v>
      </c>
      <c r="E157" s="43">
        <f>B157*'COSTOS '!$E12</f>
        <v>23040</v>
      </c>
      <c r="F157" s="39"/>
      <c r="G157" s="39" t="s">
        <v>53</v>
      </c>
      <c r="H157" s="39"/>
      <c r="I157" s="48">
        <f>I154-I155-I156</f>
        <v>116597.5794</v>
      </c>
      <c r="J157" s="39">
        <f>I171/36</f>
        <v>10.33846154</v>
      </c>
      <c r="K157" s="40" t="s">
        <v>125</v>
      </c>
      <c r="L157" s="39">
        <f>L150*N157</f>
        <v>135</v>
      </c>
      <c r="M157" s="41" t="s">
        <v>75</v>
      </c>
      <c r="N157" s="46">
        <v>0.03</v>
      </c>
      <c r="O157" s="43">
        <f>L157*'COSTOS '!$E17</f>
        <v>2268</v>
      </c>
      <c r="P157" s="39"/>
      <c r="Q157" s="39" t="s">
        <v>53</v>
      </c>
      <c r="R157" s="39"/>
      <c r="S157" s="48">
        <f>S154-S155-S156</f>
        <v>160844.725</v>
      </c>
      <c r="T157" s="39">
        <f>S171/36</f>
        <v>0</v>
      </c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</row>
    <row r="158" ht="15.75" customHeight="1">
      <c r="A158" s="39" t="s">
        <v>25</v>
      </c>
      <c r="B158" s="39">
        <f>B150*D158</f>
        <v>80</v>
      </c>
      <c r="C158" s="41" t="s">
        <v>75</v>
      </c>
      <c r="D158" s="42">
        <v>0.01</v>
      </c>
      <c r="E158" s="43">
        <f>B158*'COSTOS '!$E13</f>
        <v>1968</v>
      </c>
      <c r="F158" s="39"/>
      <c r="G158" s="39" t="s">
        <v>79</v>
      </c>
      <c r="H158" s="39"/>
      <c r="I158" s="49">
        <v>1400.0</v>
      </c>
      <c r="J158" s="39"/>
      <c r="K158" s="40" t="s">
        <v>126</v>
      </c>
      <c r="L158" s="39">
        <f>L150*N158</f>
        <v>675</v>
      </c>
      <c r="M158" s="41" t="s">
        <v>75</v>
      </c>
      <c r="N158" s="46">
        <v>0.15</v>
      </c>
      <c r="O158" s="43">
        <f>L158*'COSTOS '!$E21</f>
        <v>984.375</v>
      </c>
      <c r="P158" s="39"/>
      <c r="Q158" s="39" t="s">
        <v>79</v>
      </c>
      <c r="R158" s="39"/>
      <c r="S158" s="49">
        <v>1500.0</v>
      </c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</row>
    <row r="159" ht="15.75" customHeight="1">
      <c r="A159" s="39" t="s">
        <v>32</v>
      </c>
      <c r="B159" s="39">
        <f>B150*D159</f>
        <v>80</v>
      </c>
      <c r="C159" s="41" t="s">
        <v>75</v>
      </c>
      <c r="D159" s="42">
        <v>0.01</v>
      </c>
      <c r="E159" s="43">
        <f>B159*'COSTOS '!$E19</f>
        <v>832</v>
      </c>
      <c r="F159" s="43"/>
      <c r="G159" s="39"/>
      <c r="H159" s="39"/>
      <c r="I159" s="48"/>
      <c r="J159" s="39"/>
      <c r="K159" s="39" t="s">
        <v>37</v>
      </c>
      <c r="L159" s="39">
        <f>L150*N159</f>
        <v>855</v>
      </c>
      <c r="M159" s="41" t="s">
        <v>75</v>
      </c>
      <c r="N159" s="46">
        <v>0.19</v>
      </c>
      <c r="O159" s="43">
        <f>L159*'COSTOS '!$E21</f>
        <v>1246.875</v>
      </c>
      <c r="P159" s="43"/>
      <c r="Q159" s="39"/>
      <c r="R159" s="39"/>
      <c r="S159" s="48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</row>
    <row r="160" ht="15.75" customHeight="1">
      <c r="A160" s="39" t="s">
        <v>35</v>
      </c>
      <c r="B160" s="39">
        <f>B150*D160</f>
        <v>480</v>
      </c>
      <c r="C160" s="41" t="s">
        <v>75</v>
      </c>
      <c r="D160" s="46">
        <v>0.06</v>
      </c>
      <c r="E160" s="43">
        <f>B160*'COSTOS '!$E20</f>
        <v>2880</v>
      </c>
      <c r="F160" s="43"/>
      <c r="G160" s="39"/>
      <c r="H160" s="39"/>
      <c r="I160" s="48"/>
      <c r="J160" s="39"/>
      <c r="K160" s="40" t="s">
        <v>127</v>
      </c>
      <c r="L160" s="39">
        <f>L150*N160</f>
        <v>2250</v>
      </c>
      <c r="M160" s="41" t="s">
        <v>75</v>
      </c>
      <c r="N160" s="46">
        <v>0.5</v>
      </c>
      <c r="O160" s="43">
        <f>L160*'COSTOS '!$E36</f>
        <v>30150</v>
      </c>
      <c r="P160" s="43"/>
      <c r="Q160" s="39"/>
      <c r="R160" s="39"/>
      <c r="S160" s="48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</row>
    <row r="161" ht="15.75" customHeight="1">
      <c r="A161" s="39" t="s">
        <v>37</v>
      </c>
      <c r="B161" s="39">
        <f>B150*D161</f>
        <v>480</v>
      </c>
      <c r="C161" s="41" t="s">
        <v>75</v>
      </c>
      <c r="D161" s="46">
        <v>0.06</v>
      </c>
      <c r="E161" s="43">
        <f>B161*'COSTOS '!$E21</f>
        <v>700</v>
      </c>
      <c r="F161" s="43"/>
      <c r="G161" s="39"/>
      <c r="H161" s="39"/>
      <c r="I161" s="48"/>
      <c r="J161" s="39"/>
      <c r="K161" s="39" t="s">
        <v>58</v>
      </c>
      <c r="L161" s="56">
        <f>L150*N161</f>
        <v>900</v>
      </c>
      <c r="M161" s="41" t="s">
        <v>75</v>
      </c>
      <c r="N161" s="46">
        <v>0.2</v>
      </c>
      <c r="O161" s="43">
        <f>L161*'COSTOS '!$E32</f>
        <v>0.9</v>
      </c>
      <c r="P161" s="43"/>
      <c r="Q161" s="39"/>
      <c r="R161" s="39"/>
      <c r="S161" s="48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</row>
    <row r="162" ht="15.75" customHeight="1">
      <c r="A162" s="39" t="s">
        <v>56</v>
      </c>
      <c r="B162" s="39">
        <f>B150*D162</f>
        <v>0</v>
      </c>
      <c r="C162" s="41" t="s">
        <v>75</v>
      </c>
      <c r="D162" s="42">
        <v>0.0</v>
      </c>
      <c r="E162" s="43">
        <f>B162*'COSTOS '!$E31</f>
        <v>0</v>
      </c>
      <c r="F162" s="43"/>
      <c r="G162" s="39"/>
      <c r="H162" s="39"/>
      <c r="I162" s="39">
        <f>24*9+4</f>
        <v>220</v>
      </c>
      <c r="J162" s="39"/>
      <c r="P162" s="43"/>
      <c r="Q162" s="39"/>
      <c r="R162" s="39"/>
      <c r="S162" s="39">
        <f>24*9+4</f>
        <v>220</v>
      </c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</row>
    <row r="163" ht="15.75" customHeight="1">
      <c r="A163" s="39" t="s">
        <v>58</v>
      </c>
      <c r="B163" s="40">
        <v>7500.0</v>
      </c>
      <c r="C163" s="41" t="s">
        <v>75</v>
      </c>
      <c r="D163" s="46">
        <v>0.65</v>
      </c>
      <c r="E163" s="43">
        <f>B163*'COSTOS '!$E32</f>
        <v>7.5</v>
      </c>
      <c r="F163" s="43"/>
      <c r="G163" s="39"/>
      <c r="H163" s="39"/>
      <c r="I163" s="39"/>
      <c r="J163" s="39"/>
      <c r="P163" s="43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</row>
    <row r="164" ht="15.75" customHeight="1">
      <c r="A164" s="39"/>
      <c r="B164" s="39"/>
      <c r="C164" s="39"/>
      <c r="D164" s="39"/>
      <c r="E164" s="39"/>
      <c r="F164" s="43"/>
      <c r="G164" s="39"/>
      <c r="H164" s="39"/>
      <c r="I164" s="39"/>
      <c r="J164" s="39"/>
      <c r="K164" s="40"/>
      <c r="L164" s="40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</row>
    <row r="165" ht="15.75" customHeight="1">
      <c r="A165" s="39"/>
      <c r="B165" s="39"/>
      <c r="C165" s="39"/>
      <c r="D165" s="39"/>
      <c r="E165" s="39"/>
      <c r="F165" s="43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</row>
    <row r="166" ht="15.75" customHeight="1">
      <c r="A166" s="39"/>
      <c r="B166" s="39"/>
      <c r="C166" s="39"/>
      <c r="D166" s="39"/>
      <c r="E166" s="39"/>
      <c r="F166" s="43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</row>
    <row r="167" ht="15.75" customHeight="1">
      <c r="A167" s="45" t="s">
        <v>128</v>
      </c>
      <c r="E167" s="39"/>
      <c r="F167" s="43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</row>
    <row r="168" ht="15.75" customHeight="1">
      <c r="A168" s="39" t="s">
        <v>17</v>
      </c>
      <c r="B168" s="40">
        <v>7000.0</v>
      </c>
      <c r="C168" s="41" t="s">
        <v>75</v>
      </c>
      <c r="D168" s="42">
        <v>1.0</v>
      </c>
      <c r="E168" s="43">
        <f>B168*'COSTOS '!$E5</f>
        <v>25060</v>
      </c>
      <c r="F168" s="43"/>
      <c r="G168" s="39" t="s">
        <v>31</v>
      </c>
      <c r="H168" s="39"/>
      <c r="I168" s="44">
        <f>SUM(B168:B174)</f>
        <v>13440</v>
      </c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</row>
    <row r="169" ht="15.75" customHeight="1">
      <c r="A169" s="39" t="s">
        <v>18</v>
      </c>
      <c r="B169" s="39">
        <f>B168*D169</f>
        <v>1820</v>
      </c>
      <c r="C169" s="41" t="s">
        <v>75</v>
      </c>
      <c r="D169" s="46">
        <v>0.26</v>
      </c>
      <c r="E169" s="43">
        <f>B169*'COSTOS '!$E6</f>
        <v>7644</v>
      </c>
      <c r="F169" s="43"/>
      <c r="G169" s="39" t="s">
        <v>33</v>
      </c>
      <c r="H169" s="39"/>
      <c r="I169" s="48">
        <v>400.0</v>
      </c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</row>
    <row r="170" ht="15.75" customHeight="1">
      <c r="A170" s="39" t="s">
        <v>19</v>
      </c>
      <c r="B170" s="39">
        <f>B168*D170</f>
        <v>420</v>
      </c>
      <c r="C170" s="41" t="s">
        <v>75</v>
      </c>
      <c r="D170" s="46">
        <v>0.06</v>
      </c>
      <c r="E170" s="43">
        <f>B170*'COSTOS '!$E7</f>
        <v>5226.666667</v>
      </c>
      <c r="F170" s="43"/>
      <c r="G170" s="39" t="s">
        <v>36</v>
      </c>
      <c r="H170" s="39"/>
      <c r="I170" s="48">
        <f>I176/36</f>
        <v>36.11111111</v>
      </c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</row>
    <row r="171" ht="15.75" customHeight="1">
      <c r="A171" s="39" t="s">
        <v>77</v>
      </c>
      <c r="B171" s="39">
        <f>B168*D171</f>
        <v>1890</v>
      </c>
      <c r="C171" s="41" t="s">
        <v>75</v>
      </c>
      <c r="D171" s="46">
        <v>0.27</v>
      </c>
      <c r="E171" s="43">
        <f>B171*'COSTOS '!$E9</f>
        <v>15120</v>
      </c>
      <c r="F171" s="43"/>
      <c r="G171" s="39" t="s">
        <v>38</v>
      </c>
      <c r="H171" s="39"/>
      <c r="I171" s="44">
        <f>I168/I170</f>
        <v>372.1846154</v>
      </c>
      <c r="J171" s="39">
        <f>I171/35</f>
        <v>10.63384615</v>
      </c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</row>
    <row r="172" ht="15.75" customHeight="1">
      <c r="A172" s="39" t="s">
        <v>129</v>
      </c>
      <c r="B172" s="39">
        <f>B168*D172</f>
        <v>70</v>
      </c>
      <c r="C172" s="41" t="s">
        <v>75</v>
      </c>
      <c r="D172" s="42">
        <v>0.01</v>
      </c>
      <c r="E172" s="43">
        <f>B172*'COSTOS '!$E10</f>
        <v>560</v>
      </c>
      <c r="F172" s="43"/>
      <c r="G172" s="39" t="s">
        <v>40</v>
      </c>
      <c r="H172" s="39"/>
      <c r="I172" s="44">
        <f>I171*I169</f>
        <v>148873.8462</v>
      </c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</row>
    <row r="173" ht="15.75" customHeight="1">
      <c r="A173" s="39" t="s">
        <v>23</v>
      </c>
      <c r="B173" s="39">
        <f>B168*D173</f>
        <v>140</v>
      </c>
      <c r="C173" s="41" t="s">
        <v>75</v>
      </c>
      <c r="D173" s="42">
        <v>0.02</v>
      </c>
      <c r="E173" s="43">
        <f>B173*'COSTOS '!$E11</f>
        <v>1484</v>
      </c>
      <c r="F173" s="43"/>
      <c r="G173" s="39" t="s">
        <v>43</v>
      </c>
      <c r="H173" s="39"/>
      <c r="I173" s="48">
        <f>SUM(E168:E174)</f>
        <v>55096.76667</v>
      </c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</row>
    <row r="174" ht="15.75" customHeight="1">
      <c r="A174" s="39" t="s">
        <v>58</v>
      </c>
      <c r="B174" s="39">
        <f>B168*D174</f>
        <v>2100</v>
      </c>
      <c r="C174" s="41" t="s">
        <v>75</v>
      </c>
      <c r="D174" s="46">
        <v>0.3</v>
      </c>
      <c r="E174" s="43">
        <f>B174*'COSTOS '!$E32</f>
        <v>2.1</v>
      </c>
      <c r="F174" s="43"/>
      <c r="G174" s="39" t="s">
        <v>45</v>
      </c>
      <c r="H174" s="39"/>
      <c r="I174" s="48">
        <v>22000.0</v>
      </c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</row>
    <row r="175" ht="15.75" customHeight="1">
      <c r="A175" s="39" t="s">
        <v>20</v>
      </c>
      <c r="B175" s="39">
        <f>B168*D175</f>
        <v>0</v>
      </c>
      <c r="C175" s="41" t="s">
        <v>75</v>
      </c>
      <c r="D175" s="46">
        <v>0.0</v>
      </c>
      <c r="E175" s="43"/>
      <c r="F175" s="43"/>
      <c r="G175" s="39" t="s">
        <v>53</v>
      </c>
      <c r="H175" s="39"/>
      <c r="I175" s="48">
        <f>I172-I173-I174</f>
        <v>71777.07949</v>
      </c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</row>
    <row r="176" ht="15.75" customHeight="1">
      <c r="A176" s="39"/>
      <c r="B176" s="39"/>
      <c r="C176" s="41"/>
      <c r="D176" s="42"/>
      <c r="E176" s="43"/>
      <c r="F176" s="43"/>
      <c r="G176" s="39" t="s">
        <v>79</v>
      </c>
      <c r="H176" s="39"/>
      <c r="I176" s="49">
        <v>1300.0</v>
      </c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</row>
    <row r="177" ht="15.75" customHeight="1">
      <c r="A177" s="39"/>
      <c r="B177" s="39"/>
      <c r="C177" s="41"/>
      <c r="D177" s="42"/>
      <c r="E177" s="43"/>
      <c r="F177" s="43"/>
      <c r="G177" s="39"/>
      <c r="H177" s="39"/>
      <c r="I177" s="48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</row>
    <row r="178" ht="15.75" customHeight="1">
      <c r="A178" s="45" t="s">
        <v>130</v>
      </c>
      <c r="E178" s="39"/>
      <c r="F178" s="43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</row>
    <row r="179" ht="15.75" customHeight="1">
      <c r="A179" s="39" t="s">
        <v>131</v>
      </c>
      <c r="B179" s="57">
        <v>3000.0</v>
      </c>
      <c r="C179" s="41" t="s">
        <v>75</v>
      </c>
      <c r="D179" s="42">
        <v>1.0</v>
      </c>
      <c r="E179" s="43"/>
      <c r="F179" s="43"/>
      <c r="G179" s="39" t="s">
        <v>31</v>
      </c>
      <c r="H179" s="39"/>
      <c r="I179" s="44">
        <f>SUM(B179:B189)</f>
        <v>11370</v>
      </c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</row>
    <row r="180" ht="15.75" customHeight="1">
      <c r="A180" s="39" t="s">
        <v>18</v>
      </c>
      <c r="B180" s="39">
        <f>B179*D180</f>
        <v>510</v>
      </c>
      <c r="C180" s="41" t="s">
        <v>75</v>
      </c>
      <c r="D180" s="42">
        <v>0.17</v>
      </c>
      <c r="E180" s="43">
        <f>B180*'COSTOS '!I166</f>
        <v>0</v>
      </c>
      <c r="F180" s="43"/>
      <c r="G180" s="39" t="s">
        <v>33</v>
      </c>
      <c r="H180" s="39"/>
      <c r="I180" s="48">
        <v>200.0</v>
      </c>
      <c r="J180" s="39">
        <f>36*8</f>
        <v>288</v>
      </c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</row>
    <row r="181" ht="15.75" customHeight="1">
      <c r="A181" s="39" t="s">
        <v>19</v>
      </c>
      <c r="B181" s="39">
        <f>B179*D181</f>
        <v>360</v>
      </c>
      <c r="C181" s="41" t="s">
        <v>75</v>
      </c>
      <c r="D181" s="42">
        <v>0.12</v>
      </c>
      <c r="E181" s="43">
        <f>B181*'COSTOS '!$E7</f>
        <v>4480</v>
      </c>
      <c r="F181" s="43"/>
      <c r="G181" s="39" t="s">
        <v>36</v>
      </c>
      <c r="H181" s="39"/>
      <c r="I181" s="48">
        <f>I187/36</f>
        <v>13.88888889</v>
      </c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</row>
    <row r="182" ht="15.75" customHeight="1">
      <c r="A182" s="39" t="s">
        <v>77</v>
      </c>
      <c r="B182" s="39">
        <f>B179*D182</f>
        <v>1800</v>
      </c>
      <c r="C182" s="41" t="s">
        <v>75</v>
      </c>
      <c r="D182" s="42">
        <v>0.6</v>
      </c>
      <c r="E182" s="43">
        <f>B182*'COSTOS '!$E9</f>
        <v>14400</v>
      </c>
      <c r="F182" s="43"/>
      <c r="G182" s="39" t="s">
        <v>38</v>
      </c>
      <c r="H182" s="39"/>
      <c r="I182" s="44">
        <f>I179/I181</f>
        <v>818.64</v>
      </c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</row>
    <row r="183" ht="15.75" customHeight="1">
      <c r="A183" s="39" t="s">
        <v>132</v>
      </c>
      <c r="B183" s="39">
        <f>B179*D183</f>
        <v>30</v>
      </c>
      <c r="C183" s="41" t="s">
        <v>75</v>
      </c>
      <c r="D183" s="42">
        <v>0.01</v>
      </c>
      <c r="E183" s="43">
        <f>B183*'COSTOS '!$E10</f>
        <v>240</v>
      </c>
      <c r="F183" s="43"/>
      <c r="G183" s="39" t="s">
        <v>40</v>
      </c>
      <c r="H183" s="39"/>
      <c r="I183" s="44">
        <f>I182*I180</f>
        <v>163728</v>
      </c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</row>
    <row r="184" ht="15.75" customHeight="1">
      <c r="A184" s="39" t="s">
        <v>24</v>
      </c>
      <c r="B184" s="39">
        <f>B179*D184</f>
        <v>2010</v>
      </c>
      <c r="C184" s="41" t="s">
        <v>75</v>
      </c>
      <c r="D184" s="42">
        <v>0.67</v>
      </c>
      <c r="E184" s="43">
        <f>B184*'COSTOS '!$E12</f>
        <v>36180</v>
      </c>
      <c r="F184" s="43"/>
      <c r="G184" s="39" t="s">
        <v>43</v>
      </c>
      <c r="H184" s="39"/>
      <c r="I184" s="48">
        <f>SUM(E179:E189)</f>
        <v>80794</v>
      </c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</row>
    <row r="185" ht="15.75" customHeight="1">
      <c r="A185" s="39" t="s">
        <v>25</v>
      </c>
      <c r="B185" s="39">
        <f>B179*D185</f>
        <v>30</v>
      </c>
      <c r="C185" s="41" t="s">
        <v>75</v>
      </c>
      <c r="D185" s="42">
        <v>0.01</v>
      </c>
      <c r="E185" s="43">
        <f>B185*'COSTOS '!$E13</f>
        <v>738</v>
      </c>
      <c r="F185" s="43"/>
      <c r="G185" s="39" t="s">
        <v>45</v>
      </c>
      <c r="H185" s="39"/>
      <c r="I185" s="48">
        <v>22000.0</v>
      </c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</row>
    <row r="186" ht="15.75" customHeight="1">
      <c r="A186" s="39" t="s">
        <v>32</v>
      </c>
      <c r="B186" s="39">
        <f>B179*D186</f>
        <v>120</v>
      </c>
      <c r="C186" s="41" t="s">
        <v>75</v>
      </c>
      <c r="D186" s="42">
        <v>0.04</v>
      </c>
      <c r="E186" s="43">
        <f>B186*'COSTOS '!$E19</f>
        <v>1248</v>
      </c>
      <c r="F186" s="43"/>
      <c r="G186" s="39" t="s">
        <v>53</v>
      </c>
      <c r="H186" s="39"/>
      <c r="I186" s="48">
        <f>I183-I184-I185</f>
        <v>60934</v>
      </c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</row>
    <row r="187" ht="15.75" customHeight="1">
      <c r="A187" s="39" t="s">
        <v>35</v>
      </c>
      <c r="B187" s="39">
        <f>B179</f>
        <v>3000</v>
      </c>
      <c r="C187" s="41" t="s">
        <v>75</v>
      </c>
      <c r="D187" s="42">
        <v>1.0</v>
      </c>
      <c r="E187" s="43">
        <f>B187*'COSTOS '!$E20</f>
        <v>18000</v>
      </c>
      <c r="F187" s="43"/>
      <c r="G187" s="39" t="s">
        <v>79</v>
      </c>
      <c r="H187" s="39"/>
      <c r="I187" s="48">
        <v>500.0</v>
      </c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</row>
    <row r="188" ht="15.75" customHeight="1">
      <c r="A188" s="39" t="s">
        <v>42</v>
      </c>
      <c r="B188" s="39">
        <f>B179*D188</f>
        <v>510</v>
      </c>
      <c r="C188" s="41" t="s">
        <v>75</v>
      </c>
      <c r="D188" s="42">
        <v>0.17</v>
      </c>
      <c r="E188" s="43">
        <f>B188*'COSTOS '!$E23</f>
        <v>5508</v>
      </c>
      <c r="F188" s="43"/>
      <c r="G188" s="39"/>
      <c r="H188" s="39"/>
      <c r="I188" s="48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</row>
    <row r="189" ht="15.75" customHeight="1">
      <c r="A189" s="39" t="s">
        <v>58</v>
      </c>
      <c r="B189" s="39">
        <f>B179*D189</f>
        <v>0</v>
      </c>
      <c r="C189" s="41" t="s">
        <v>75</v>
      </c>
      <c r="D189" s="42">
        <v>0.0</v>
      </c>
      <c r="E189" s="43">
        <f>B189*'COSTOS '!$E32</f>
        <v>0</v>
      </c>
      <c r="F189" s="43"/>
      <c r="G189" s="39"/>
      <c r="H189" s="39"/>
      <c r="I189" s="48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</row>
    <row r="190" ht="15.75" customHeight="1">
      <c r="A190" s="39"/>
      <c r="B190" s="39"/>
      <c r="C190" s="39"/>
      <c r="D190" s="39"/>
      <c r="E190" s="43"/>
      <c r="F190" s="43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</row>
    <row r="191" ht="15.75" customHeight="1">
      <c r="A191" s="45" t="s">
        <v>133</v>
      </c>
      <c r="E191" s="45"/>
      <c r="F191" s="43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</row>
    <row r="192" ht="15.75" customHeight="1">
      <c r="A192" s="39" t="s">
        <v>17</v>
      </c>
      <c r="B192" s="40">
        <v>3250.0</v>
      </c>
      <c r="C192" s="41" t="s">
        <v>75</v>
      </c>
      <c r="D192" s="42">
        <v>1.0</v>
      </c>
      <c r="E192" s="43">
        <f>B192*'COSTOS '!$E5</f>
        <v>11635</v>
      </c>
      <c r="F192" s="43"/>
      <c r="G192" s="39" t="s">
        <v>31</v>
      </c>
      <c r="H192" s="36"/>
      <c r="I192" s="44">
        <f>SUM(B192:B200)</f>
        <v>6337.5</v>
      </c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</row>
    <row r="193" ht="15.75" customHeight="1">
      <c r="A193" s="39" t="s">
        <v>18</v>
      </c>
      <c r="B193" s="39">
        <f>B192*D193</f>
        <v>715</v>
      </c>
      <c r="C193" s="41" t="s">
        <v>75</v>
      </c>
      <c r="D193" s="46">
        <v>0.22</v>
      </c>
      <c r="E193" s="43">
        <f>B193*'COSTOS '!$E6</f>
        <v>3003</v>
      </c>
      <c r="F193" s="43"/>
      <c r="G193" s="39" t="s">
        <v>33</v>
      </c>
      <c r="H193" s="36"/>
      <c r="I193" s="48">
        <v>400.0</v>
      </c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</row>
    <row r="194" ht="15.75" customHeight="1">
      <c r="A194" s="39" t="s">
        <v>19</v>
      </c>
      <c r="B194" s="39">
        <f>B192*D194</f>
        <v>195</v>
      </c>
      <c r="C194" s="41" t="s">
        <v>75</v>
      </c>
      <c r="D194" s="46">
        <v>0.06</v>
      </c>
      <c r="E194" s="43">
        <f>B194*'COSTOS '!$E7</f>
        <v>2426.666667</v>
      </c>
      <c r="F194" s="43"/>
      <c r="G194" s="39" t="s">
        <v>36</v>
      </c>
      <c r="H194" s="36"/>
      <c r="I194" s="48">
        <f>I200/36</f>
        <v>36.11111111</v>
      </c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</row>
    <row r="195" ht="15.75" customHeight="1">
      <c r="A195" s="39" t="s">
        <v>77</v>
      </c>
      <c r="B195" s="39">
        <f>B192*D195</f>
        <v>910</v>
      </c>
      <c r="C195" s="41" t="s">
        <v>75</v>
      </c>
      <c r="D195" s="46">
        <v>0.28</v>
      </c>
      <c r="E195" s="43">
        <f>B195*'COSTOS '!$E9</f>
        <v>7280</v>
      </c>
      <c r="F195" s="43"/>
      <c r="G195" s="39" t="s">
        <v>38</v>
      </c>
      <c r="H195" s="36"/>
      <c r="I195" s="44">
        <f>I192/I194</f>
        <v>175.5</v>
      </c>
      <c r="J195" s="39">
        <f>I195/35</f>
        <v>5.014285714</v>
      </c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</row>
    <row r="196" ht="15.75" customHeight="1">
      <c r="A196" s="39" t="s">
        <v>134</v>
      </c>
      <c r="B196" s="39">
        <f>B192*D196</f>
        <v>32.5</v>
      </c>
      <c r="C196" s="41" t="s">
        <v>75</v>
      </c>
      <c r="D196" s="42">
        <v>0.01</v>
      </c>
      <c r="E196" s="43">
        <f>B196*'COSTOS '!$E10</f>
        <v>260</v>
      </c>
      <c r="F196" s="43"/>
      <c r="G196" s="39" t="s">
        <v>40</v>
      </c>
      <c r="H196" s="36"/>
      <c r="I196" s="44">
        <f>I195*I193</f>
        <v>70200</v>
      </c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</row>
    <row r="197" ht="15.75" customHeight="1">
      <c r="A197" s="39" t="s">
        <v>23</v>
      </c>
      <c r="B197" s="39">
        <f>B192*D197</f>
        <v>97.5</v>
      </c>
      <c r="C197" s="41" t="s">
        <v>75</v>
      </c>
      <c r="D197" s="42">
        <v>0.03</v>
      </c>
      <c r="E197" s="43">
        <f>B197*'COSTOS '!$E11</f>
        <v>1033.5</v>
      </c>
      <c r="F197" s="43"/>
      <c r="G197" s="39" t="s">
        <v>43</v>
      </c>
      <c r="H197" s="36"/>
      <c r="I197" s="48">
        <f>SUM(E192:E200)</f>
        <v>26898.95985</v>
      </c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</row>
    <row r="198" ht="15.75" customHeight="1">
      <c r="A198" s="39" t="s">
        <v>27</v>
      </c>
      <c r="B198" s="58">
        <f>B192*D198</f>
        <v>130</v>
      </c>
      <c r="C198" s="41" t="s">
        <v>75</v>
      </c>
      <c r="D198" s="46">
        <v>0.04</v>
      </c>
      <c r="E198" s="43">
        <f>B198*'COSTOS '!$E15</f>
        <v>921.8181818</v>
      </c>
      <c r="F198" s="39"/>
      <c r="G198" s="39" t="s">
        <v>45</v>
      </c>
      <c r="H198" s="36"/>
      <c r="I198" s="48">
        <v>22000.0</v>
      </c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</row>
    <row r="199" ht="15.75" customHeight="1">
      <c r="A199" s="39" t="s">
        <v>32</v>
      </c>
      <c r="B199" s="39">
        <f>B192*D199</f>
        <v>32.5</v>
      </c>
      <c r="C199" s="41" t="s">
        <v>75</v>
      </c>
      <c r="D199" s="42">
        <v>0.01</v>
      </c>
      <c r="E199" s="43">
        <f>B199*'COSTOS '!$E19</f>
        <v>338</v>
      </c>
      <c r="F199" s="39"/>
      <c r="G199" s="39" t="s">
        <v>53</v>
      </c>
      <c r="H199" s="36"/>
      <c r="I199" s="48">
        <f>I196-I197-I198</f>
        <v>21301.04015</v>
      </c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</row>
    <row r="200" ht="15.75" customHeight="1">
      <c r="A200" s="39" t="s">
        <v>58</v>
      </c>
      <c r="B200" s="39">
        <f>B192*D200</f>
        <v>975</v>
      </c>
      <c r="C200" s="41" t="s">
        <v>75</v>
      </c>
      <c r="D200" s="46">
        <v>0.3</v>
      </c>
      <c r="E200" s="43">
        <f>B200*'COSTOS '!$E32</f>
        <v>0.975</v>
      </c>
      <c r="F200" s="39"/>
      <c r="G200" s="39" t="s">
        <v>79</v>
      </c>
      <c r="H200" s="36"/>
      <c r="I200" s="49">
        <v>1300.0</v>
      </c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</row>
    <row r="201" ht="15.75" customHeight="1">
      <c r="A201" s="39" t="s">
        <v>135</v>
      </c>
      <c r="B201" s="39">
        <f>B192*D201</f>
        <v>130</v>
      </c>
      <c r="C201" s="41" t="s">
        <v>75</v>
      </c>
      <c r="D201" s="42">
        <v>0.04</v>
      </c>
      <c r="E201" s="43">
        <f>B201*'COSTOS '!$E29</f>
        <v>2262</v>
      </c>
      <c r="F201" s="39"/>
      <c r="G201" s="39"/>
      <c r="H201" s="36"/>
      <c r="I201" s="48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</row>
    <row r="202" ht="15.75" customHeight="1">
      <c r="A202" s="39"/>
      <c r="B202" s="39"/>
      <c r="C202" s="41"/>
      <c r="D202" s="42"/>
      <c r="E202" s="43"/>
      <c r="F202" s="43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</row>
    <row r="203" ht="15.75" customHeight="1">
      <c r="A203" s="45" t="s">
        <v>136</v>
      </c>
      <c r="E203" s="45"/>
      <c r="F203" s="43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</row>
    <row r="204" ht="15.75" customHeight="1">
      <c r="A204" s="39" t="s">
        <v>17</v>
      </c>
      <c r="B204" s="40">
        <v>4500.0</v>
      </c>
      <c r="C204" s="41" t="s">
        <v>75</v>
      </c>
      <c r="D204" s="42">
        <v>1.0</v>
      </c>
      <c r="E204" s="43">
        <f>B204*'COSTOS '!$E5</f>
        <v>16110</v>
      </c>
      <c r="F204" s="43"/>
      <c r="G204" s="39" t="s">
        <v>31</v>
      </c>
      <c r="H204" s="39"/>
      <c r="I204" s="44">
        <f>SUM(B204:B215)-B214</f>
        <v>8550</v>
      </c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</row>
    <row r="205" ht="15.75" customHeight="1">
      <c r="A205" s="39" t="s">
        <v>18</v>
      </c>
      <c r="B205" s="39">
        <f>B204*D205</f>
        <v>495</v>
      </c>
      <c r="C205" s="41" t="s">
        <v>75</v>
      </c>
      <c r="D205" s="42">
        <v>0.11</v>
      </c>
      <c r="E205" s="43">
        <f>B205*'COSTOS '!$E6</f>
        <v>2079</v>
      </c>
      <c r="F205" s="43"/>
      <c r="G205" s="39" t="s">
        <v>33</v>
      </c>
      <c r="H205" s="39"/>
      <c r="I205" s="49">
        <v>2000.0</v>
      </c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</row>
    <row r="206" ht="15.75" customHeight="1">
      <c r="A206" s="39" t="s">
        <v>19</v>
      </c>
      <c r="B206" s="39">
        <f>B204*D206</f>
        <v>360</v>
      </c>
      <c r="C206" s="41" t="s">
        <v>75</v>
      </c>
      <c r="D206" s="42">
        <v>0.08</v>
      </c>
      <c r="E206" s="43">
        <f>B206*'COSTOS '!$E7</f>
        <v>4480</v>
      </c>
      <c r="F206" s="43"/>
      <c r="G206" s="39" t="s">
        <v>36</v>
      </c>
      <c r="H206" s="39"/>
      <c r="I206" s="48">
        <f>I212/36</f>
        <v>91.66666667</v>
      </c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</row>
    <row r="207" ht="15.75" customHeight="1">
      <c r="A207" s="39" t="s">
        <v>20</v>
      </c>
      <c r="B207" s="39">
        <f>B204*D207</f>
        <v>90</v>
      </c>
      <c r="C207" s="41" t="s">
        <v>75</v>
      </c>
      <c r="D207" s="42">
        <v>0.02</v>
      </c>
      <c r="E207" s="43">
        <f>B207*'COSTOS '!$E8</f>
        <v>168.75</v>
      </c>
      <c r="F207" s="43"/>
      <c r="G207" s="39" t="s">
        <v>38</v>
      </c>
      <c r="H207" s="39"/>
      <c r="I207" s="44">
        <f>I204/I206</f>
        <v>93.27272727</v>
      </c>
      <c r="J207" s="39">
        <f>I207/36</f>
        <v>2.590909091</v>
      </c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</row>
    <row r="208" ht="15.75" customHeight="1">
      <c r="A208" s="39" t="s">
        <v>77</v>
      </c>
      <c r="B208" s="39">
        <f>B204*D208</f>
        <v>585</v>
      </c>
      <c r="C208" s="41" t="s">
        <v>75</v>
      </c>
      <c r="D208" s="42">
        <v>0.13</v>
      </c>
      <c r="E208" s="43">
        <f>B208*'COSTOS '!$E9</f>
        <v>4680</v>
      </c>
      <c r="F208" s="43"/>
      <c r="G208" s="39" t="s">
        <v>40</v>
      </c>
      <c r="H208" s="39"/>
      <c r="I208" s="44">
        <f>I207*I205</f>
        <v>186545.4545</v>
      </c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</row>
    <row r="209" ht="15.75" customHeight="1">
      <c r="A209" s="39" t="s">
        <v>110</v>
      </c>
      <c r="B209" s="39">
        <f>B204*D209</f>
        <v>45</v>
      </c>
      <c r="C209" s="41" t="s">
        <v>75</v>
      </c>
      <c r="D209" s="42">
        <v>0.01</v>
      </c>
      <c r="E209" s="43">
        <f>B209*'COSTOS '!$E10</f>
        <v>360</v>
      </c>
      <c r="F209" s="43"/>
      <c r="G209" s="39" t="s">
        <v>43</v>
      </c>
      <c r="H209" s="39"/>
      <c r="I209" s="48">
        <f>SUM(E204:E215)</f>
        <v>40762.75</v>
      </c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</row>
    <row r="210" ht="15.75" customHeight="1">
      <c r="A210" s="39" t="s">
        <v>23</v>
      </c>
      <c r="B210" s="39">
        <f>B204*D210</f>
        <v>90</v>
      </c>
      <c r="C210" s="41" t="s">
        <v>75</v>
      </c>
      <c r="D210" s="42">
        <v>0.02</v>
      </c>
      <c r="E210" s="43">
        <f>B210*'COSTOS '!$E11</f>
        <v>954</v>
      </c>
      <c r="F210" s="43"/>
      <c r="G210" s="39" t="s">
        <v>45</v>
      </c>
      <c r="H210" s="39"/>
      <c r="I210" s="48">
        <v>22000.0</v>
      </c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</row>
    <row r="211" ht="15.75" customHeight="1">
      <c r="A211" s="39" t="s">
        <v>25</v>
      </c>
      <c r="B211" s="39">
        <f>B204*D211</f>
        <v>45</v>
      </c>
      <c r="C211" s="41" t="s">
        <v>75</v>
      </c>
      <c r="D211" s="42">
        <v>0.01</v>
      </c>
      <c r="E211" s="43">
        <f>B211*'COSTOS '!$E13</f>
        <v>1107</v>
      </c>
      <c r="F211" s="43"/>
      <c r="G211" s="39" t="s">
        <v>53</v>
      </c>
      <c r="H211" s="39"/>
      <c r="I211" s="48">
        <f>I208-I209-I210</f>
        <v>123782.7045</v>
      </c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</row>
    <row r="212" ht="15.75" customHeight="1">
      <c r="A212" s="39" t="s">
        <v>28</v>
      </c>
      <c r="B212" s="39">
        <f>B204*D212</f>
        <v>990</v>
      </c>
      <c r="C212" s="41" t="s">
        <v>75</v>
      </c>
      <c r="D212" s="42">
        <v>0.22</v>
      </c>
      <c r="E212" s="43">
        <f>B212*'COSTOS '!$E16</f>
        <v>10824</v>
      </c>
      <c r="F212" s="43"/>
      <c r="G212" s="39" t="s">
        <v>79</v>
      </c>
      <c r="H212" s="39"/>
      <c r="I212" s="49">
        <v>3300.0</v>
      </c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</row>
    <row r="213" ht="15.75" customHeight="1">
      <c r="A213" s="39" t="s">
        <v>29</v>
      </c>
      <c r="B213" s="39">
        <f>B204*D213</f>
        <v>0</v>
      </c>
      <c r="C213" s="41" t="s">
        <v>75</v>
      </c>
      <c r="D213" s="42">
        <v>0.0</v>
      </c>
      <c r="E213" s="43">
        <f>B213*'COSTOS '!$E17</f>
        <v>0</v>
      </c>
      <c r="F213" s="43"/>
      <c r="G213" s="39"/>
      <c r="H213" s="39"/>
      <c r="I213" s="48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</row>
    <row r="214" ht="15.75" customHeight="1">
      <c r="A214" s="39" t="s">
        <v>56</v>
      </c>
      <c r="B214" s="39">
        <f>B204*D214</f>
        <v>0</v>
      </c>
      <c r="C214" s="41" t="s">
        <v>75</v>
      </c>
      <c r="D214" s="46">
        <v>0.0</v>
      </c>
      <c r="E214" s="43">
        <f>B214*'COSTOS '!$E36</f>
        <v>0</v>
      </c>
      <c r="F214" s="43"/>
      <c r="G214" s="39"/>
      <c r="H214" s="39"/>
      <c r="I214" s="48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</row>
    <row r="215" ht="15.75" customHeight="1">
      <c r="A215" s="39" t="s">
        <v>58</v>
      </c>
      <c r="B215" s="39">
        <f>B204*D215</f>
        <v>1350</v>
      </c>
      <c r="C215" s="41" t="s">
        <v>75</v>
      </c>
      <c r="D215" s="42">
        <v>0.3</v>
      </c>
      <c r="E215" s="43">
        <f>B215*'COSTOS '!D201</f>
        <v>0</v>
      </c>
      <c r="F215" s="43"/>
      <c r="G215" s="39"/>
      <c r="H215" s="39"/>
      <c r="I215" s="48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</row>
    <row r="216" ht="15.75" customHeight="1">
      <c r="A216" s="39"/>
      <c r="B216" s="39"/>
      <c r="C216" s="41"/>
      <c r="D216" s="42"/>
      <c r="E216" s="43"/>
      <c r="F216" s="43"/>
      <c r="G216" s="39"/>
      <c r="H216" s="39"/>
      <c r="I216" s="48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</row>
    <row r="217" ht="15.75" customHeight="1">
      <c r="A217" s="45" t="s">
        <v>137</v>
      </c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</row>
    <row r="218" ht="15.75" customHeight="1">
      <c r="A218" s="39" t="s">
        <v>17</v>
      </c>
      <c r="B218" s="39">
        <v>6500.0</v>
      </c>
      <c r="C218" s="41" t="s">
        <v>75</v>
      </c>
      <c r="D218" s="42">
        <v>1.0</v>
      </c>
      <c r="E218" s="43">
        <f>B218*'COSTOS '!$E5</f>
        <v>23270</v>
      </c>
      <c r="F218" s="43"/>
      <c r="G218" s="39" t="s">
        <v>31</v>
      </c>
      <c r="H218" s="39"/>
      <c r="I218" s="44">
        <f>SUM(B218:B230)</f>
        <v>13065</v>
      </c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</row>
    <row r="219" ht="15.75" customHeight="1">
      <c r="A219" s="39" t="s">
        <v>18</v>
      </c>
      <c r="B219" s="39">
        <f>B218*D219</f>
        <v>1755</v>
      </c>
      <c r="C219" s="41" t="s">
        <v>75</v>
      </c>
      <c r="D219" s="42">
        <v>0.27</v>
      </c>
      <c r="E219" s="43">
        <f>B219*'COSTOS '!$E6</f>
        <v>7371</v>
      </c>
      <c r="F219" s="43"/>
      <c r="G219" s="39" t="s">
        <v>33</v>
      </c>
      <c r="H219" s="39"/>
      <c r="I219" s="48">
        <v>400.0</v>
      </c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</row>
    <row r="220" ht="15.75" customHeight="1">
      <c r="A220" s="39" t="s">
        <v>19</v>
      </c>
      <c r="B220" s="39">
        <f>B218*D220</f>
        <v>1495</v>
      </c>
      <c r="C220" s="41" t="s">
        <v>75</v>
      </c>
      <c r="D220" s="42">
        <v>0.23</v>
      </c>
      <c r="E220" s="43">
        <f>B220*'COSTOS '!$E7</f>
        <v>18604.44444</v>
      </c>
      <c r="F220" s="43"/>
      <c r="G220" s="39" t="s">
        <v>36</v>
      </c>
      <c r="H220" s="39"/>
      <c r="I220" s="48">
        <f>I226/36</f>
        <v>38.88888889</v>
      </c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</row>
    <row r="221" ht="15.75" customHeight="1">
      <c r="A221" s="39" t="s">
        <v>20</v>
      </c>
      <c r="B221" s="39">
        <f>B218*D221</f>
        <v>130</v>
      </c>
      <c r="C221" s="41" t="s">
        <v>75</v>
      </c>
      <c r="D221" s="42">
        <v>0.02</v>
      </c>
      <c r="E221" s="43">
        <f>B221*'COSTOS '!$E8</f>
        <v>243.75</v>
      </c>
      <c r="F221" s="43"/>
      <c r="G221" s="39" t="s">
        <v>38</v>
      </c>
      <c r="H221" s="39"/>
      <c r="I221" s="44">
        <f>I218/I220</f>
        <v>335.9571429</v>
      </c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</row>
    <row r="222" ht="15.75" customHeight="1">
      <c r="A222" s="39" t="s">
        <v>77</v>
      </c>
      <c r="B222" s="39">
        <f>B218*D222</f>
        <v>2925</v>
      </c>
      <c r="C222" s="41" t="s">
        <v>75</v>
      </c>
      <c r="D222" s="42">
        <v>0.45</v>
      </c>
      <c r="E222" s="43">
        <f>B222*'COSTOS '!$E9</f>
        <v>23400</v>
      </c>
      <c r="F222" s="43"/>
      <c r="G222" s="39" t="s">
        <v>40</v>
      </c>
      <c r="H222" s="39"/>
      <c r="I222" s="44">
        <f>I221*I219</f>
        <v>134382.8571</v>
      </c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</row>
    <row r="223" ht="15.75" customHeight="1">
      <c r="A223" s="39" t="s">
        <v>78</v>
      </c>
      <c r="B223" s="39">
        <f>B218*D223</f>
        <v>65</v>
      </c>
      <c r="C223" s="41" t="s">
        <v>75</v>
      </c>
      <c r="D223" s="42">
        <v>0.01</v>
      </c>
      <c r="E223" s="43">
        <f>B223*'COSTOS '!$E10</f>
        <v>520</v>
      </c>
      <c r="F223" s="43"/>
      <c r="G223" s="39" t="s">
        <v>43</v>
      </c>
      <c r="H223" s="39"/>
      <c r="I223" s="48">
        <f>SUM(E218:E230)</f>
        <v>75658.19444</v>
      </c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</row>
    <row r="224" ht="15.75" customHeight="1">
      <c r="A224" s="39" t="s">
        <v>23</v>
      </c>
      <c r="B224" s="39">
        <f>B218*D224</f>
        <v>0</v>
      </c>
      <c r="C224" s="41" t="s">
        <v>75</v>
      </c>
      <c r="D224" s="42">
        <v>0.0</v>
      </c>
      <c r="E224" s="43">
        <f>B224*'COSTOS '!$E11</f>
        <v>0</v>
      </c>
      <c r="F224" s="43"/>
      <c r="G224" s="39" t="s">
        <v>45</v>
      </c>
      <c r="H224" s="39"/>
      <c r="I224" s="48">
        <v>22000.0</v>
      </c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</row>
    <row r="225" ht="15.75" customHeight="1">
      <c r="A225" s="39" t="s">
        <v>24</v>
      </c>
      <c r="B225" s="39">
        <f>B218*D225</f>
        <v>0</v>
      </c>
      <c r="C225" s="41" t="s">
        <v>75</v>
      </c>
      <c r="D225" s="42">
        <v>0.0</v>
      </c>
      <c r="E225" s="43">
        <f>B225*'COSTOS '!$E12</f>
        <v>0</v>
      </c>
      <c r="F225" s="43"/>
      <c r="G225" s="39" t="s">
        <v>53</v>
      </c>
      <c r="H225" s="39"/>
      <c r="I225" s="48">
        <f>I222-I223-I224</f>
        <v>36724.6627</v>
      </c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</row>
    <row r="226" ht="15.75" customHeight="1">
      <c r="A226" s="39" t="s">
        <v>25</v>
      </c>
      <c r="B226" s="39">
        <f>B218*D226</f>
        <v>65</v>
      </c>
      <c r="C226" s="41" t="s">
        <v>75</v>
      </c>
      <c r="D226" s="42">
        <v>0.01</v>
      </c>
      <c r="E226" s="43">
        <f>B226*'COSTOS '!$E13</f>
        <v>1599</v>
      </c>
      <c r="F226" s="43"/>
      <c r="G226" s="39" t="s">
        <v>79</v>
      </c>
      <c r="H226" s="39"/>
      <c r="I226" s="48">
        <v>1400.0</v>
      </c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</row>
    <row r="227" ht="15.75" customHeight="1">
      <c r="A227" s="39" t="s">
        <v>29</v>
      </c>
      <c r="B227" s="39">
        <f>B218*D227</f>
        <v>0</v>
      </c>
      <c r="C227" s="41" t="s">
        <v>75</v>
      </c>
      <c r="D227" s="42">
        <v>0.0</v>
      </c>
      <c r="E227" s="43">
        <f>B227*'COSTOS '!$E17</f>
        <v>0</v>
      </c>
      <c r="F227" s="43"/>
      <c r="G227" s="39"/>
      <c r="H227" s="39"/>
      <c r="I227" s="48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</row>
    <row r="228" ht="15.75" customHeight="1">
      <c r="A228" s="39" t="s">
        <v>35</v>
      </c>
      <c r="B228" s="39">
        <f>B218*D228</f>
        <v>0</v>
      </c>
      <c r="C228" s="41" t="s">
        <v>75</v>
      </c>
      <c r="D228" s="42">
        <v>0.0</v>
      </c>
      <c r="E228" s="43">
        <f>B228*'COSTOS '!$E20</f>
        <v>0</v>
      </c>
      <c r="F228" s="43"/>
      <c r="G228" s="39"/>
      <c r="H228" s="39"/>
      <c r="I228" s="48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</row>
    <row r="229" ht="15.75" customHeight="1">
      <c r="A229" s="39" t="s">
        <v>56</v>
      </c>
      <c r="B229" s="39">
        <f>B218*D229</f>
        <v>130</v>
      </c>
      <c r="C229" s="41" t="s">
        <v>75</v>
      </c>
      <c r="D229" s="42">
        <v>0.02</v>
      </c>
      <c r="E229" s="43">
        <f>B229*'COSTOS '!$E31</f>
        <v>650</v>
      </c>
      <c r="F229" s="43"/>
      <c r="G229" s="39"/>
      <c r="H229" s="39"/>
      <c r="I229" s="48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</row>
    <row r="230" ht="15.75" customHeight="1">
      <c r="A230" s="39" t="s">
        <v>58</v>
      </c>
      <c r="B230" s="39">
        <f>B218*D230</f>
        <v>0</v>
      </c>
      <c r="C230" s="41" t="s">
        <v>75</v>
      </c>
      <c r="D230" s="42">
        <v>0.0</v>
      </c>
      <c r="E230" s="43">
        <f>B230*'COSTOS '!$E32</f>
        <v>0</v>
      </c>
      <c r="F230" s="43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</row>
    <row r="231" ht="15.75" customHeight="1">
      <c r="A231" s="39"/>
      <c r="B231" s="39"/>
      <c r="C231" s="41"/>
      <c r="D231" s="42"/>
      <c r="E231" s="43"/>
      <c r="F231" s="43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</row>
    <row r="232" ht="15.75" customHeight="1">
      <c r="A232" s="39"/>
      <c r="B232" s="39"/>
      <c r="C232" s="41"/>
      <c r="D232" s="42"/>
      <c r="E232" s="43"/>
      <c r="F232" s="43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</row>
    <row r="233" ht="15.75" customHeight="1">
      <c r="A233" s="45" t="s">
        <v>138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</row>
    <row r="234" ht="15.75" customHeight="1">
      <c r="A234" s="39" t="s">
        <v>17</v>
      </c>
      <c r="B234" s="40">
        <v>4000.0</v>
      </c>
      <c r="C234" s="41" t="s">
        <v>75</v>
      </c>
      <c r="D234" s="42">
        <v>1.0</v>
      </c>
      <c r="E234" s="43">
        <f>B234*'COSTOS '!$E5</f>
        <v>14320</v>
      </c>
      <c r="F234" s="39"/>
      <c r="G234" s="39" t="s">
        <v>31</v>
      </c>
      <c r="H234" s="39"/>
      <c r="I234" s="44">
        <f>SUM(B234:B241)</f>
        <v>6800</v>
      </c>
      <c r="J234" s="39"/>
      <c r="K234" s="45" t="s">
        <v>139</v>
      </c>
      <c r="O234" s="45"/>
      <c r="P234" s="43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</row>
    <row r="235" ht="15.75" customHeight="1">
      <c r="A235" s="39" t="s">
        <v>18</v>
      </c>
      <c r="B235" s="39">
        <f>B234*D235</f>
        <v>480</v>
      </c>
      <c r="C235" s="41" t="s">
        <v>75</v>
      </c>
      <c r="D235" s="42">
        <v>0.12</v>
      </c>
      <c r="E235" s="43">
        <f>B235*'COSTOS '!$E6</f>
        <v>2016</v>
      </c>
      <c r="F235" s="39"/>
      <c r="G235" s="39" t="s">
        <v>33</v>
      </c>
      <c r="H235" s="39"/>
      <c r="I235" s="48">
        <v>250.0</v>
      </c>
      <c r="J235" s="39"/>
      <c r="K235" s="39" t="s">
        <v>17</v>
      </c>
      <c r="L235" s="40">
        <v>4500.0</v>
      </c>
      <c r="M235" s="41" t="s">
        <v>75</v>
      </c>
      <c r="N235" s="42">
        <v>1.0</v>
      </c>
      <c r="O235" s="43">
        <f>L235*'COSTOS '!$E5</f>
        <v>16110</v>
      </c>
      <c r="P235" s="43"/>
      <c r="Q235" s="39" t="s">
        <v>31</v>
      </c>
      <c r="R235" s="36"/>
      <c r="S235" s="44">
        <f>SUM(L235:L241)</f>
        <v>10755</v>
      </c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</row>
    <row r="236" ht="15.75" customHeight="1">
      <c r="A236" s="39" t="s">
        <v>140</v>
      </c>
      <c r="B236" s="39">
        <f>B234*D236</f>
        <v>120</v>
      </c>
      <c r="C236" s="41" t="s">
        <v>75</v>
      </c>
      <c r="D236" s="42">
        <v>0.03</v>
      </c>
      <c r="E236" s="43">
        <f>B236*'COSTOS '!$E7</f>
        <v>1493.333333</v>
      </c>
      <c r="F236" s="39"/>
      <c r="G236" s="39" t="s">
        <v>36</v>
      </c>
      <c r="H236" s="39"/>
      <c r="I236" s="48">
        <f>I242/36</f>
        <v>22.22222222</v>
      </c>
      <c r="J236" s="39"/>
      <c r="K236" s="39" t="s">
        <v>18</v>
      </c>
      <c r="L236" s="36">
        <f>L235*N236</f>
        <v>360</v>
      </c>
      <c r="M236" s="41" t="s">
        <v>75</v>
      </c>
      <c r="N236" s="46">
        <v>0.08</v>
      </c>
      <c r="O236" s="43">
        <f>L236*'COSTOS '!$E6</f>
        <v>1512</v>
      </c>
      <c r="P236" s="43"/>
      <c r="Q236" s="39" t="s">
        <v>33</v>
      </c>
      <c r="R236" s="36"/>
      <c r="S236" s="49">
        <v>2500.0</v>
      </c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</row>
    <row r="237" ht="15.75" customHeight="1">
      <c r="A237" s="39" t="s">
        <v>20</v>
      </c>
      <c r="B237" s="39">
        <f>B234*D237</f>
        <v>80</v>
      </c>
      <c r="C237" s="41" t="s">
        <v>75</v>
      </c>
      <c r="D237" s="42">
        <v>0.02</v>
      </c>
      <c r="E237" s="43">
        <f>B237*'COSTOS '!$E8</f>
        <v>150</v>
      </c>
      <c r="F237" s="39"/>
      <c r="G237" s="39" t="s">
        <v>38</v>
      </c>
      <c r="H237" s="39"/>
      <c r="I237" s="44">
        <f>I234/I236</f>
        <v>306</v>
      </c>
      <c r="J237" s="39"/>
      <c r="K237" s="39" t="s">
        <v>20</v>
      </c>
      <c r="L237" s="39">
        <f>L235*N237</f>
        <v>90</v>
      </c>
      <c r="M237" s="41" t="s">
        <v>75</v>
      </c>
      <c r="N237" s="42">
        <v>0.02</v>
      </c>
      <c r="O237" s="43">
        <f>L237*'COSTOS '!$E8</f>
        <v>168.75</v>
      </c>
      <c r="P237" s="43"/>
      <c r="Q237" s="39" t="s">
        <v>36</v>
      </c>
      <c r="R237" s="36"/>
      <c r="S237" s="48">
        <f>S243/36</f>
        <v>111.1111111</v>
      </c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</row>
    <row r="238" ht="15.75" customHeight="1">
      <c r="A238" s="39" t="s">
        <v>77</v>
      </c>
      <c r="B238" s="39">
        <f>B234*D238</f>
        <v>400</v>
      </c>
      <c r="C238" s="41" t="s">
        <v>75</v>
      </c>
      <c r="D238" s="42">
        <v>0.1</v>
      </c>
      <c r="E238" s="43">
        <f>B238*'COSTOS '!$E9</f>
        <v>3200</v>
      </c>
      <c r="F238" s="39"/>
      <c r="G238" s="39" t="s">
        <v>40</v>
      </c>
      <c r="H238" s="39"/>
      <c r="I238" s="44">
        <f>I237*I235</f>
        <v>76500</v>
      </c>
      <c r="J238" s="39"/>
      <c r="K238" s="39" t="s">
        <v>77</v>
      </c>
      <c r="L238" s="39">
        <f>L235*N238</f>
        <v>315</v>
      </c>
      <c r="M238" s="41" t="s">
        <v>75</v>
      </c>
      <c r="N238" s="46">
        <v>0.07</v>
      </c>
      <c r="O238" s="43">
        <f>L238*'COSTOS '!$E9</f>
        <v>2520</v>
      </c>
      <c r="P238" s="43"/>
      <c r="Q238" s="39" t="s">
        <v>38</v>
      </c>
      <c r="R238" s="36"/>
      <c r="S238" s="44">
        <f>S235/S237</f>
        <v>96.795</v>
      </c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</row>
    <row r="239" ht="15.75" customHeight="1">
      <c r="A239" s="39" t="s">
        <v>78</v>
      </c>
      <c r="B239" s="39">
        <f>B234*D239</f>
        <v>40</v>
      </c>
      <c r="C239" s="41" t="s">
        <v>75</v>
      </c>
      <c r="D239" s="42">
        <v>0.01</v>
      </c>
      <c r="E239" s="43">
        <f>B239*'COSTOS '!$E10</f>
        <v>320</v>
      </c>
      <c r="F239" s="39"/>
      <c r="G239" s="39" t="s">
        <v>43</v>
      </c>
      <c r="H239" s="39"/>
      <c r="I239" s="48">
        <f>SUM(E234:E241)</f>
        <v>22772.89333</v>
      </c>
      <c r="J239" s="39"/>
      <c r="K239" s="39" t="s">
        <v>141</v>
      </c>
      <c r="L239" s="39">
        <f>L235*N239</f>
        <v>45</v>
      </c>
      <c r="M239" s="41" t="s">
        <v>75</v>
      </c>
      <c r="N239" s="42">
        <v>0.01</v>
      </c>
      <c r="O239" s="43">
        <f>L239*'COSTOS '!$E10</f>
        <v>360</v>
      </c>
      <c r="P239" s="43"/>
      <c r="Q239" s="39" t="s">
        <v>40</v>
      </c>
      <c r="R239" s="36"/>
      <c r="S239" s="44">
        <f>S238*S236</f>
        <v>241987.5</v>
      </c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</row>
    <row r="240" ht="15.75" customHeight="1">
      <c r="A240" s="39" t="s">
        <v>23</v>
      </c>
      <c r="B240" s="39">
        <f>B234*D240</f>
        <v>120</v>
      </c>
      <c r="C240" s="41" t="s">
        <v>75</v>
      </c>
      <c r="D240" s="42">
        <v>0.03</v>
      </c>
      <c r="E240" s="43">
        <f>B240*'COSTOS '!$E11</f>
        <v>1272</v>
      </c>
      <c r="F240" s="39"/>
      <c r="G240" s="39" t="s">
        <v>45</v>
      </c>
      <c r="H240" s="39"/>
      <c r="I240" s="48">
        <v>22000.0</v>
      </c>
      <c r="J240" s="39"/>
      <c r="K240" s="39" t="s">
        <v>28</v>
      </c>
      <c r="L240" s="39">
        <f>L235*N240</f>
        <v>2970</v>
      </c>
      <c r="M240" s="41" t="s">
        <v>75</v>
      </c>
      <c r="N240" s="42">
        <v>0.66</v>
      </c>
      <c r="O240" s="43">
        <f>L240*'COSTOS '!$E16</f>
        <v>32472</v>
      </c>
      <c r="P240" s="43"/>
      <c r="Q240" s="39" t="s">
        <v>43</v>
      </c>
      <c r="R240" s="36"/>
      <c r="S240" s="48">
        <f>SUM(O235:O241)</f>
        <v>53145.225</v>
      </c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</row>
    <row r="241" ht="15.75" customHeight="1">
      <c r="A241" s="39" t="s">
        <v>58</v>
      </c>
      <c r="B241" s="39">
        <f>B234*D241</f>
        <v>1560</v>
      </c>
      <c r="C241" s="41" t="s">
        <v>75</v>
      </c>
      <c r="D241" s="42">
        <v>0.39</v>
      </c>
      <c r="E241" s="43">
        <f>B241*'COSTOS '!$E32</f>
        <v>1.56</v>
      </c>
      <c r="F241" s="39"/>
      <c r="G241" s="39" t="s">
        <v>53</v>
      </c>
      <c r="H241" s="39"/>
      <c r="I241" s="48">
        <f>I238-I239-I240</f>
        <v>31727.10667</v>
      </c>
      <c r="J241" s="39"/>
      <c r="K241" s="39" t="s">
        <v>58</v>
      </c>
      <c r="L241" s="39">
        <f>L235*N241</f>
        <v>2475</v>
      </c>
      <c r="M241" s="41" t="s">
        <v>75</v>
      </c>
      <c r="N241" s="46">
        <v>0.55</v>
      </c>
      <c r="O241" s="43">
        <f>L241*'COSTOS '!$E32</f>
        <v>2.475</v>
      </c>
      <c r="P241" s="43"/>
      <c r="Q241" s="39" t="s">
        <v>45</v>
      </c>
      <c r="R241" s="36"/>
      <c r="S241" s="48">
        <v>22000.0</v>
      </c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</row>
    <row r="242" ht="15.75" customHeight="1">
      <c r="A242" s="39"/>
      <c r="B242" s="39"/>
      <c r="C242" s="39"/>
      <c r="D242" s="39"/>
      <c r="E242" s="39"/>
      <c r="F242" s="39"/>
      <c r="G242" s="39" t="s">
        <v>79</v>
      </c>
      <c r="H242" s="39"/>
      <c r="I242" s="49">
        <v>800.0</v>
      </c>
      <c r="J242" s="39"/>
      <c r="K242" s="40" t="s">
        <v>142</v>
      </c>
      <c r="L242" s="39"/>
      <c r="M242" s="39"/>
      <c r="N242" s="39"/>
      <c r="O242" s="43"/>
      <c r="P242" s="43"/>
      <c r="Q242" s="39" t="s">
        <v>53</v>
      </c>
      <c r="R242" s="36"/>
      <c r="S242" s="48">
        <f>S239-S240-S241</f>
        <v>166842.275</v>
      </c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48"/>
      <c r="J243" s="39"/>
      <c r="K243" s="39"/>
      <c r="L243" s="39"/>
      <c r="M243" s="39"/>
      <c r="N243" s="39"/>
      <c r="O243" s="43"/>
      <c r="P243" s="43"/>
      <c r="Q243" s="39" t="s">
        <v>79</v>
      </c>
      <c r="R243" s="36"/>
      <c r="S243" s="49">
        <v>4000.0</v>
      </c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48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48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59" t="s">
        <v>143</v>
      </c>
      <c r="M246" s="39"/>
      <c r="N246" s="39"/>
      <c r="O246" s="43"/>
      <c r="P246" s="43"/>
      <c r="Q246" s="39"/>
      <c r="R246" s="36"/>
      <c r="S246" s="48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</row>
    <row r="247" ht="15.75" customHeight="1">
      <c r="A247" s="39"/>
      <c r="B247" s="39"/>
      <c r="C247" s="39"/>
      <c r="D247" s="39"/>
      <c r="E247" s="43"/>
      <c r="F247" s="43"/>
      <c r="G247" s="39"/>
      <c r="H247" s="39"/>
      <c r="I247" s="39"/>
      <c r="J247" s="39"/>
      <c r="K247" s="39" t="s">
        <v>10</v>
      </c>
      <c r="L247" s="39">
        <v>7000.0</v>
      </c>
      <c r="M247" s="41" t="s">
        <v>75</v>
      </c>
      <c r="N247" s="42">
        <v>1.0</v>
      </c>
      <c r="O247" s="43">
        <f>L247*'COSTOS '!$E12</f>
        <v>126000</v>
      </c>
      <c r="P247" s="43"/>
      <c r="Q247" s="39" t="s">
        <v>31</v>
      </c>
      <c r="R247" s="36"/>
      <c r="S247" s="44">
        <f>SUM(L247:L255)</f>
        <v>26180</v>
      </c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</row>
    <row r="248" ht="15.75" customHeight="1">
      <c r="A248" s="45" t="s">
        <v>139</v>
      </c>
      <c r="E248" s="45"/>
      <c r="F248" s="43"/>
      <c r="G248" s="39"/>
      <c r="H248" s="39"/>
      <c r="I248" s="39"/>
      <c r="J248" s="39"/>
      <c r="K248" s="39" t="s">
        <v>18</v>
      </c>
      <c r="L248" s="39">
        <f>L247*N248</f>
        <v>1260</v>
      </c>
      <c r="M248" s="41" t="s">
        <v>75</v>
      </c>
      <c r="N248" s="42">
        <v>0.18</v>
      </c>
      <c r="O248" s="43">
        <f>L248*'COSTOS '!$E18</f>
        <v>0</v>
      </c>
      <c r="P248" s="43"/>
      <c r="Q248" s="39" t="s">
        <v>33</v>
      </c>
      <c r="R248" s="36"/>
      <c r="S248" s="48">
        <v>1000.0</v>
      </c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</row>
    <row r="249" ht="15.75" customHeight="1">
      <c r="A249" s="39" t="s">
        <v>17</v>
      </c>
      <c r="B249" s="40">
        <v>4500.0</v>
      </c>
      <c r="C249" s="41" t="s">
        <v>75</v>
      </c>
      <c r="D249" s="42">
        <v>1.0</v>
      </c>
      <c r="E249" s="43">
        <f>B249*'COSTOS '!$E5</f>
        <v>16110</v>
      </c>
      <c r="F249" s="43"/>
      <c r="G249" s="39" t="s">
        <v>31</v>
      </c>
      <c r="H249" s="36"/>
      <c r="I249" s="44">
        <f>SUM(B249:B255)</f>
        <v>10395</v>
      </c>
      <c r="J249" s="39"/>
      <c r="K249" s="39" t="s">
        <v>144</v>
      </c>
      <c r="L249" s="39">
        <f>L247*N249</f>
        <v>0</v>
      </c>
      <c r="M249" s="41" t="s">
        <v>75</v>
      </c>
      <c r="N249" s="42">
        <v>0.0</v>
      </c>
      <c r="O249" s="43">
        <f>L249*'COSTOS '!$E20</f>
        <v>0</v>
      </c>
      <c r="P249" s="43"/>
      <c r="Q249" s="39" t="s">
        <v>36</v>
      </c>
      <c r="R249" s="36"/>
      <c r="S249" s="48">
        <f>S255/36</f>
        <v>61.11111111</v>
      </c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</row>
    <row r="250" ht="15.75" customHeight="1">
      <c r="A250" s="39" t="s">
        <v>18</v>
      </c>
      <c r="B250" s="36">
        <f>B249*D250</f>
        <v>585</v>
      </c>
      <c r="C250" s="41" t="s">
        <v>75</v>
      </c>
      <c r="D250" s="42">
        <v>0.13</v>
      </c>
      <c r="E250" s="43">
        <f>B250*'COSTOS '!$E6</f>
        <v>2457</v>
      </c>
      <c r="F250" s="43"/>
      <c r="G250" s="39" t="s">
        <v>33</v>
      </c>
      <c r="H250" s="36"/>
      <c r="I250" s="49">
        <v>2500.0</v>
      </c>
      <c r="J250" s="39"/>
      <c r="K250" s="39" t="s">
        <v>145</v>
      </c>
      <c r="L250" s="39">
        <f>L247*N250</f>
        <v>8400</v>
      </c>
      <c r="M250" s="41" t="s">
        <v>75</v>
      </c>
      <c r="N250" s="42">
        <v>1.2</v>
      </c>
      <c r="O250" s="43">
        <f>L250*'COSTOS '!$E15</f>
        <v>59563.63636</v>
      </c>
      <c r="P250" s="43"/>
      <c r="Q250" s="39" t="s">
        <v>38</v>
      </c>
      <c r="R250" s="36"/>
      <c r="S250" s="44">
        <f>S247/S249</f>
        <v>428.4</v>
      </c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</row>
    <row r="251" ht="15.75" customHeight="1">
      <c r="A251" s="39" t="s">
        <v>20</v>
      </c>
      <c r="B251" s="39">
        <f>B249*D251</f>
        <v>90</v>
      </c>
      <c r="C251" s="41" t="s">
        <v>75</v>
      </c>
      <c r="D251" s="42">
        <v>0.02</v>
      </c>
      <c r="E251" s="43">
        <f>B251*'COSTOS '!$E8</f>
        <v>168.75</v>
      </c>
      <c r="F251" s="43"/>
      <c r="G251" s="39" t="s">
        <v>36</v>
      </c>
      <c r="H251" s="36"/>
      <c r="I251" s="48">
        <f>I257/36</f>
        <v>111.1111111</v>
      </c>
      <c r="J251" s="39"/>
      <c r="K251" s="39" t="s">
        <v>146</v>
      </c>
      <c r="L251" s="39">
        <f>L247*N251</f>
        <v>3500</v>
      </c>
      <c r="M251" s="41" t="s">
        <v>75</v>
      </c>
      <c r="N251" s="42">
        <v>0.5</v>
      </c>
      <c r="O251" s="43">
        <f>L251*'COSTOS '!$E23</f>
        <v>37800</v>
      </c>
      <c r="P251" s="43"/>
      <c r="Q251" s="39" t="s">
        <v>40</v>
      </c>
      <c r="R251" s="36"/>
      <c r="S251" s="44">
        <f>S250*S248</f>
        <v>428400</v>
      </c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</row>
    <row r="252" ht="15.75" customHeight="1">
      <c r="A252" s="39" t="s">
        <v>77</v>
      </c>
      <c r="B252" s="39">
        <f>B249*D252</f>
        <v>180</v>
      </c>
      <c r="C252" s="41" t="s">
        <v>75</v>
      </c>
      <c r="D252" s="42">
        <v>0.04</v>
      </c>
      <c r="E252" s="43">
        <f>B252*'COSTOS '!$E9</f>
        <v>1440</v>
      </c>
      <c r="F252" s="43"/>
      <c r="G252" s="39" t="s">
        <v>38</v>
      </c>
      <c r="H252" s="36"/>
      <c r="I252" s="44">
        <f>I249/I251</f>
        <v>93.555</v>
      </c>
      <c r="J252" s="39"/>
      <c r="K252" s="39" t="s">
        <v>147</v>
      </c>
      <c r="L252" s="39">
        <f>L247*N252</f>
        <v>910</v>
      </c>
      <c r="M252" s="41" t="s">
        <v>75</v>
      </c>
      <c r="N252" s="42">
        <v>0.13</v>
      </c>
      <c r="O252" s="43">
        <f>L252*'COSTOS '!$E7</f>
        <v>11324.44444</v>
      </c>
      <c r="P252" s="43"/>
      <c r="Q252" s="39" t="s">
        <v>43</v>
      </c>
      <c r="R252" s="36"/>
      <c r="S252" s="48">
        <f>SUM(O247:O254)</f>
        <v>234692.9808</v>
      </c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</row>
    <row r="253" ht="15.75" customHeight="1">
      <c r="A253" s="39" t="s">
        <v>141</v>
      </c>
      <c r="B253" s="39">
        <f>B249*D253</f>
        <v>45</v>
      </c>
      <c r="C253" s="41" t="s">
        <v>75</v>
      </c>
      <c r="D253" s="42">
        <v>0.01</v>
      </c>
      <c r="E253" s="43">
        <f>B253*'COSTOS '!$E10</f>
        <v>360</v>
      </c>
      <c r="F253" s="43"/>
      <c r="G253" s="39" t="s">
        <v>40</v>
      </c>
      <c r="H253" s="36"/>
      <c r="I253" s="44">
        <f>I252*I250</f>
        <v>233887.5</v>
      </c>
      <c r="J253" s="39"/>
      <c r="K253" s="39" t="s">
        <v>125</v>
      </c>
      <c r="L253" s="39">
        <f>L247*N253</f>
        <v>0</v>
      </c>
      <c r="M253" s="41" t="s">
        <v>75</v>
      </c>
      <c r="N253" s="42">
        <v>0.0</v>
      </c>
      <c r="O253" s="43">
        <f>L253*'COSTOS '!$E17</f>
        <v>0</v>
      </c>
      <c r="P253" s="43"/>
      <c r="Q253" s="39" t="s">
        <v>45</v>
      </c>
      <c r="R253" s="36"/>
      <c r="S253" s="48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</row>
    <row r="254" ht="15.75" customHeight="1">
      <c r="A254" s="39" t="s">
        <v>28</v>
      </c>
      <c r="B254" s="39">
        <f>B249*D254</f>
        <v>2970</v>
      </c>
      <c r="C254" s="41" t="s">
        <v>75</v>
      </c>
      <c r="D254" s="42">
        <v>0.66</v>
      </c>
      <c r="E254" s="43">
        <f>B254*'COSTOS '!$E16</f>
        <v>32472</v>
      </c>
      <c r="F254" s="43"/>
      <c r="G254" s="39" t="s">
        <v>43</v>
      </c>
      <c r="H254" s="36"/>
      <c r="I254" s="48">
        <f>SUM(E249:E255)</f>
        <v>53009.775</v>
      </c>
      <c r="J254" s="39"/>
      <c r="K254" s="39" t="s">
        <v>58</v>
      </c>
      <c r="L254" s="39">
        <f>L247*N254</f>
        <v>4900</v>
      </c>
      <c r="M254" s="41" t="s">
        <v>75</v>
      </c>
      <c r="N254" s="42">
        <v>0.7</v>
      </c>
      <c r="O254" s="43">
        <f>L254*'COSTOS '!$E32</f>
        <v>4.9</v>
      </c>
      <c r="P254" s="43"/>
      <c r="Q254" s="39" t="s">
        <v>53</v>
      </c>
      <c r="R254" s="36"/>
      <c r="S254" s="48">
        <f>S251-S252-S253</f>
        <v>193707.0192</v>
      </c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</row>
    <row r="255" ht="15.75" customHeight="1">
      <c r="A255" s="39" t="s">
        <v>58</v>
      </c>
      <c r="B255" s="39">
        <f>B249*D255</f>
        <v>2025</v>
      </c>
      <c r="C255" s="41" t="s">
        <v>75</v>
      </c>
      <c r="D255" s="42">
        <v>0.45</v>
      </c>
      <c r="E255" s="43">
        <f>B255*'COSTOS '!$E32</f>
        <v>2.025</v>
      </c>
      <c r="F255" s="43"/>
      <c r="G255" s="39" t="s">
        <v>45</v>
      </c>
      <c r="H255" s="36"/>
      <c r="I255" s="48">
        <v>22000.0</v>
      </c>
      <c r="J255" s="39"/>
      <c r="K255" s="39" t="s">
        <v>148</v>
      </c>
      <c r="L255" s="39">
        <f>L247*N255</f>
        <v>210</v>
      </c>
      <c r="M255" s="41" t="s">
        <v>75</v>
      </c>
      <c r="N255" s="42">
        <v>0.03</v>
      </c>
      <c r="O255" s="43">
        <f>L255*'COSTOS '!O23</f>
        <v>0</v>
      </c>
      <c r="P255" s="43"/>
      <c r="Q255" s="39" t="s">
        <v>79</v>
      </c>
      <c r="R255" s="36"/>
      <c r="S255" s="48">
        <v>2200.0</v>
      </c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</row>
    <row r="256" ht="15.75" customHeight="1">
      <c r="A256" s="39"/>
      <c r="B256" s="39"/>
      <c r="C256" s="39"/>
      <c r="D256" s="39"/>
      <c r="E256" s="43"/>
      <c r="F256" s="43"/>
      <c r="G256" s="39" t="s">
        <v>53</v>
      </c>
      <c r="H256" s="36"/>
      <c r="I256" s="48">
        <f>I253-I254-I255</f>
        <v>158877.725</v>
      </c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</row>
    <row r="257" ht="15.75" customHeight="1">
      <c r="A257" s="39"/>
      <c r="B257" s="39"/>
      <c r="C257" s="39"/>
      <c r="D257" s="39"/>
      <c r="E257" s="43"/>
      <c r="F257" s="43"/>
      <c r="G257" s="39" t="s">
        <v>79</v>
      </c>
      <c r="H257" s="36"/>
      <c r="I257" s="49">
        <v>4000.0</v>
      </c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</row>
    <row r="258" ht="15.75" customHeight="1">
      <c r="A258" s="39"/>
      <c r="B258" s="39"/>
      <c r="C258" s="39"/>
      <c r="D258" s="39"/>
      <c r="E258" s="43"/>
      <c r="F258" s="43"/>
      <c r="G258" s="39"/>
      <c r="H258" s="36"/>
      <c r="I258" s="48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</row>
    <row r="259" ht="15.75" customHeight="1">
      <c r="A259" s="39"/>
      <c r="B259" s="39"/>
      <c r="C259" s="39"/>
      <c r="D259" s="39"/>
      <c r="E259" s="43"/>
      <c r="F259" s="43"/>
      <c r="G259" s="39"/>
      <c r="H259" s="36"/>
      <c r="I259" s="48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</row>
    <row r="260" ht="15.75" customHeight="1">
      <c r="A260" s="39"/>
      <c r="B260" s="59" t="s">
        <v>149</v>
      </c>
      <c r="C260" s="39"/>
      <c r="D260" s="39"/>
      <c r="E260" s="43"/>
      <c r="F260" s="43"/>
      <c r="G260" s="39"/>
      <c r="H260" s="36"/>
      <c r="I260" s="48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</row>
    <row r="261" ht="15.75" customHeight="1">
      <c r="A261" s="39" t="s">
        <v>10</v>
      </c>
      <c r="B261" s="39">
        <v>7000.0</v>
      </c>
      <c r="C261" s="41" t="s">
        <v>75</v>
      </c>
      <c r="D261" s="42">
        <v>1.0</v>
      </c>
      <c r="E261" s="43">
        <f>B261*'COSTOS '!$E12</f>
        <v>126000</v>
      </c>
      <c r="F261" s="43"/>
      <c r="G261" s="39" t="s">
        <v>31</v>
      </c>
      <c r="H261" s="36"/>
      <c r="I261" s="44">
        <f>SUM(B261:B269)</f>
        <v>23940</v>
      </c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</row>
    <row r="262" ht="15.75" customHeight="1">
      <c r="A262" s="39" t="s">
        <v>18</v>
      </c>
      <c r="B262" s="39">
        <f>B261*D262</f>
        <v>1260</v>
      </c>
      <c r="C262" s="41" t="s">
        <v>75</v>
      </c>
      <c r="D262" s="42">
        <v>0.18</v>
      </c>
      <c r="E262" s="43">
        <f>B262*'COSTOS '!$E18</f>
        <v>0</v>
      </c>
      <c r="F262" s="43"/>
      <c r="G262" s="39" t="s">
        <v>33</v>
      </c>
      <c r="H262" s="36"/>
      <c r="I262" s="48">
        <v>1000.0</v>
      </c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</row>
    <row r="263" ht="15.75" customHeight="1">
      <c r="A263" s="39" t="s">
        <v>144</v>
      </c>
      <c r="B263" s="39">
        <f>B261*D263</f>
        <v>700</v>
      </c>
      <c r="C263" s="41" t="s">
        <v>75</v>
      </c>
      <c r="D263" s="42">
        <v>0.1</v>
      </c>
      <c r="E263" s="43">
        <f>B263*'COSTOS '!$E20</f>
        <v>4200</v>
      </c>
      <c r="F263" s="43"/>
      <c r="G263" s="39" t="s">
        <v>36</v>
      </c>
      <c r="H263" s="36"/>
      <c r="I263" s="48">
        <f>I269/36</f>
        <v>61.11111111</v>
      </c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</row>
    <row r="264" ht="15.75" customHeight="1">
      <c r="A264" s="39" t="s">
        <v>145</v>
      </c>
      <c r="B264" s="39">
        <f>B261*D264</f>
        <v>5250</v>
      </c>
      <c r="C264" s="41" t="s">
        <v>75</v>
      </c>
      <c r="D264" s="42">
        <v>0.75</v>
      </c>
      <c r="E264" s="43">
        <f>B264*'COSTOS '!$E15</f>
        <v>37227.27273</v>
      </c>
      <c r="F264" s="43"/>
      <c r="G264" s="39" t="s">
        <v>38</v>
      </c>
      <c r="H264" s="36"/>
      <c r="I264" s="44">
        <f>I261/I263</f>
        <v>391.7454545</v>
      </c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</row>
    <row r="265" ht="15.75" customHeight="1">
      <c r="A265" s="39" t="s">
        <v>146</v>
      </c>
      <c r="B265" s="39">
        <f>B261*D265</f>
        <v>3710</v>
      </c>
      <c r="C265" s="41" t="s">
        <v>75</v>
      </c>
      <c r="D265" s="42">
        <v>0.53</v>
      </c>
      <c r="E265" s="43">
        <f>B265*'COSTOS '!$E23</f>
        <v>40068</v>
      </c>
      <c r="F265" s="43"/>
      <c r="G265" s="39" t="s">
        <v>40</v>
      </c>
      <c r="H265" s="36"/>
      <c r="I265" s="44">
        <f>I264*I262</f>
        <v>391745.4545</v>
      </c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</row>
    <row r="266" ht="15.75" customHeight="1">
      <c r="A266" s="39" t="s">
        <v>147</v>
      </c>
      <c r="B266" s="39">
        <f>B261*D266</f>
        <v>910</v>
      </c>
      <c r="C266" s="41" t="s">
        <v>75</v>
      </c>
      <c r="D266" s="42">
        <v>0.13</v>
      </c>
      <c r="E266" s="43">
        <f>B266*'COSTOS '!$E7</f>
        <v>11324.44444</v>
      </c>
      <c r="F266" s="43"/>
      <c r="G266" s="39" t="s">
        <v>43</v>
      </c>
      <c r="H266" s="36"/>
      <c r="I266" s="48">
        <f>SUM(E261:E268)</f>
        <v>218824.6172</v>
      </c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</row>
    <row r="267" ht="15.75" customHeight="1">
      <c r="A267" s="39" t="s">
        <v>125</v>
      </c>
      <c r="B267" s="39">
        <f>B261*D267</f>
        <v>0</v>
      </c>
      <c r="C267" s="41" t="s">
        <v>75</v>
      </c>
      <c r="D267" s="42">
        <v>0.0</v>
      </c>
      <c r="E267" s="43">
        <f>B267*'COSTOS '!$E17</f>
        <v>0</v>
      </c>
      <c r="F267" s="43"/>
      <c r="G267" s="39" t="s">
        <v>45</v>
      </c>
      <c r="H267" s="36"/>
      <c r="I267" s="48">
        <v>30000.0</v>
      </c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</row>
    <row r="268" ht="15.75" customHeight="1">
      <c r="A268" s="39" t="s">
        <v>58</v>
      </c>
      <c r="B268" s="39">
        <f>B261*D268</f>
        <v>4900</v>
      </c>
      <c r="C268" s="41" t="s">
        <v>75</v>
      </c>
      <c r="D268" s="42">
        <v>0.7</v>
      </c>
      <c r="E268" s="43">
        <f>B268*'COSTOS '!$E32</f>
        <v>4.9</v>
      </c>
      <c r="F268" s="43"/>
      <c r="G268" s="39" t="s">
        <v>53</v>
      </c>
      <c r="H268" s="36"/>
      <c r="I268" s="48">
        <f>I265-I266-I267</f>
        <v>142920.8374</v>
      </c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</row>
    <row r="269" ht="15.75" customHeight="1">
      <c r="A269" s="39" t="s">
        <v>148</v>
      </c>
      <c r="B269" s="39">
        <f>B261*D269</f>
        <v>210</v>
      </c>
      <c r="C269" s="41" t="s">
        <v>75</v>
      </c>
      <c r="D269" s="42">
        <v>0.03</v>
      </c>
      <c r="E269" s="43">
        <f>B269*'COSTOS '!E23</f>
        <v>2268</v>
      </c>
      <c r="F269" s="43"/>
      <c r="G269" s="39" t="s">
        <v>79</v>
      </c>
      <c r="H269" s="36"/>
      <c r="I269" s="48">
        <v>2200.0</v>
      </c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</row>
    <row r="270" ht="15.75" customHeight="1">
      <c r="A270" s="39"/>
      <c r="B270" s="39"/>
      <c r="C270" s="39"/>
      <c r="D270" s="39"/>
      <c r="E270" s="43"/>
      <c r="F270" s="43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</row>
    <row r="271" ht="15.75" customHeight="1">
      <c r="B271" s="59" t="s">
        <v>150</v>
      </c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</row>
    <row r="272" ht="15.75" customHeight="1"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</row>
    <row r="273" ht="15.75" customHeight="1">
      <c r="A273" s="39" t="str">
        <f>'COSTOS '!B5</f>
        <v>harina</v>
      </c>
      <c r="B273" s="39">
        <v>7500.0</v>
      </c>
      <c r="C273" s="41" t="s">
        <v>75</v>
      </c>
      <c r="D273" s="42">
        <v>1.0</v>
      </c>
      <c r="E273" s="43">
        <f>B273*'COSTOS '!E5</f>
        <v>26850</v>
      </c>
      <c r="F273" s="39" t="s">
        <v>31</v>
      </c>
      <c r="G273" s="36"/>
      <c r="I273" s="44">
        <f>SUM(B273:B282)</f>
        <v>15750</v>
      </c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</row>
    <row r="274" ht="15.75" customHeight="1">
      <c r="A274" s="39" t="str">
        <f>'COSTOS '!B6</f>
        <v>azucar</v>
      </c>
      <c r="B274" s="39">
        <f>B273*D274</f>
        <v>1200</v>
      </c>
      <c r="C274" s="41" t="s">
        <v>75</v>
      </c>
      <c r="D274" s="42">
        <v>0.16</v>
      </c>
      <c r="E274" s="43">
        <f>B274*'COSTOS '!E6</f>
        <v>5040</v>
      </c>
      <c r="F274" s="39" t="s">
        <v>33</v>
      </c>
      <c r="G274" s="36"/>
      <c r="I274" s="48">
        <f>5000/3</f>
        <v>1666.666667</v>
      </c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</row>
    <row r="275" ht="15.75" customHeight="1">
      <c r="A275" s="39" t="str">
        <f>'COSTOS '!B7</f>
        <v>huevos </v>
      </c>
      <c r="B275" s="39">
        <f>B273*D275</f>
        <v>1950</v>
      </c>
      <c r="C275" s="41" t="s">
        <v>75</v>
      </c>
      <c r="D275" s="42">
        <v>0.26</v>
      </c>
      <c r="E275" s="43">
        <f>B275*'COSTOS '!E7</f>
        <v>24266.66667</v>
      </c>
      <c r="F275" s="39" t="s">
        <v>36</v>
      </c>
      <c r="G275" s="36"/>
      <c r="I275" s="48">
        <f>I284/36</f>
        <v>255.5555556</v>
      </c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</row>
    <row r="276" ht="15.75" customHeight="1">
      <c r="A276" s="39" t="str">
        <f>'COSTOS '!B8</f>
        <v>sal</v>
      </c>
      <c r="B276" s="39">
        <f>B273*D276</f>
        <v>150</v>
      </c>
      <c r="C276" s="41" t="s">
        <v>75</v>
      </c>
      <c r="D276" s="42">
        <v>0.02</v>
      </c>
      <c r="E276" s="43">
        <f>B276*'COSTOS '!E8</f>
        <v>281.25</v>
      </c>
      <c r="F276" s="39" t="s">
        <v>38</v>
      </c>
      <c r="G276" s="36"/>
      <c r="I276" s="44">
        <f>I273/I275</f>
        <v>61.63043478</v>
      </c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</row>
    <row r="277" ht="15.75" customHeight="1">
      <c r="A277" s="39" t="str">
        <f>'COSTOS '!B9</f>
        <v>mantequilla AT</v>
      </c>
      <c r="B277" s="39">
        <f>B273*D277</f>
        <v>2850</v>
      </c>
      <c r="C277" s="41" t="s">
        <v>75</v>
      </c>
      <c r="D277" s="42">
        <v>0.38</v>
      </c>
      <c r="E277" s="43">
        <f>B277*'COSTOS '!E9</f>
        <v>22800</v>
      </c>
      <c r="F277" s="39" t="s">
        <v>40</v>
      </c>
      <c r="G277" s="36"/>
      <c r="I277" s="44">
        <f>I276*I274</f>
        <v>102717.3913</v>
      </c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</row>
    <row r="278" ht="15.75" customHeight="1">
      <c r="A278" s="39" t="str">
        <f>'COSTOS '!B10</f>
        <v>ecencia </v>
      </c>
      <c r="B278" s="39">
        <f>B273*D278</f>
        <v>150</v>
      </c>
      <c r="C278" s="41" t="s">
        <v>75</v>
      </c>
      <c r="D278" s="42">
        <v>0.02</v>
      </c>
      <c r="E278" s="43">
        <f>B278*'COSTOS '!E10</f>
        <v>1200</v>
      </c>
      <c r="F278" s="39" t="s">
        <v>43</v>
      </c>
      <c r="G278" s="36"/>
      <c r="I278" s="48">
        <f>SUM(E273:E282)</f>
        <v>85584.04167</v>
      </c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</row>
    <row r="279" ht="15.75" customHeight="1">
      <c r="A279" s="39" t="str">
        <f>'COSTOS '!B11</f>
        <v>levadura</v>
      </c>
      <c r="B279" s="39">
        <f>B273*D279</f>
        <v>450</v>
      </c>
      <c r="C279" s="41" t="s">
        <v>75</v>
      </c>
      <c r="D279" s="42">
        <v>0.06</v>
      </c>
      <c r="E279" s="43">
        <f>B279*'COSTOS '!E11</f>
        <v>4770</v>
      </c>
      <c r="F279" s="39" t="s">
        <v>45</v>
      </c>
      <c r="G279" s="36"/>
      <c r="I279" s="48">
        <v>8000.0</v>
      </c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</row>
    <row r="280" ht="15.75" customHeight="1">
      <c r="A280" s="39" t="str">
        <f>'COSTOS '!B18</f>
        <v>manq de vaca </v>
      </c>
      <c r="B280" s="39">
        <f>B273*D280</f>
        <v>300</v>
      </c>
      <c r="C280" s="41" t="s">
        <v>75</v>
      </c>
      <c r="D280" s="42">
        <v>0.04</v>
      </c>
      <c r="E280" s="43">
        <f>B280*'COSTOS '!E18</f>
        <v>0</v>
      </c>
      <c r="F280" s="39" t="s">
        <v>47</v>
      </c>
      <c r="G280" s="36"/>
      <c r="I280" s="48">
        <v>4000.0</v>
      </c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</row>
    <row r="281" ht="15.75" customHeight="1">
      <c r="A281" s="39" t="str">
        <f>'COSTOS '!B31</f>
        <v>otros</v>
      </c>
      <c r="B281" s="39">
        <f>B273*D281</f>
        <v>75</v>
      </c>
      <c r="C281" s="41" t="s">
        <v>75</v>
      </c>
      <c r="D281" s="42">
        <v>0.01</v>
      </c>
      <c r="E281" s="43">
        <f>B281*'COSTOS '!E31</f>
        <v>375</v>
      </c>
      <c r="F281" s="39" t="s">
        <v>49</v>
      </c>
      <c r="G281" s="36"/>
      <c r="I281" s="48">
        <v>2000.0</v>
      </c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</row>
    <row r="282" ht="15.75" customHeight="1">
      <c r="A282" s="39" t="str">
        <f>'COSTOS '!B32</f>
        <v>agua</v>
      </c>
      <c r="B282" s="39">
        <f>B273*D282</f>
        <v>1125</v>
      </c>
      <c r="C282" s="41" t="s">
        <v>75</v>
      </c>
      <c r="D282" s="42">
        <v>0.15</v>
      </c>
      <c r="E282" s="43">
        <f>B282*'COSTOS '!E32</f>
        <v>1.125</v>
      </c>
      <c r="F282" s="39" t="s">
        <v>51</v>
      </c>
      <c r="G282" s="36"/>
      <c r="I282" s="48">
        <v>8000.0</v>
      </c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</row>
    <row r="283" ht="15.75" customHeight="1">
      <c r="A283" s="39"/>
      <c r="B283" s="39"/>
      <c r="C283" s="39"/>
      <c r="D283" s="39"/>
      <c r="E283" s="43"/>
      <c r="F283" s="39" t="s">
        <v>53</v>
      </c>
      <c r="G283" s="36"/>
      <c r="I283" s="48">
        <f>I277-I278-I279-I280-I281-I282</f>
        <v>-4866.650362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</row>
    <row r="284" ht="15.75" customHeight="1">
      <c r="A284" s="39"/>
      <c r="B284" s="39"/>
      <c r="C284" s="39"/>
      <c r="D284" s="39"/>
      <c r="E284" s="43"/>
      <c r="F284" s="39" t="s">
        <v>79</v>
      </c>
      <c r="G284" s="36"/>
      <c r="I284" s="48">
        <v>9200.0</v>
      </c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</row>
    <row r="285" ht="15.75" customHeight="1">
      <c r="A285" s="39"/>
      <c r="B285" s="39"/>
      <c r="C285" s="39"/>
      <c r="D285" s="39"/>
      <c r="E285" s="43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</row>
    <row r="286" ht="15.75" customHeight="1">
      <c r="B286" s="59" t="s">
        <v>151</v>
      </c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</row>
    <row r="287" ht="15.75" customHeight="1"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</row>
    <row r="288" ht="15.75" customHeight="1">
      <c r="A288" s="39" t="str">
        <f>'COSTOS '!B5</f>
        <v>harina</v>
      </c>
      <c r="B288" s="39">
        <v>3125.0</v>
      </c>
      <c r="C288" s="41" t="s">
        <v>75</v>
      </c>
      <c r="D288" s="42">
        <v>1.0</v>
      </c>
      <c r="E288" s="43">
        <f>B288*'COSTOS '!E5</f>
        <v>11187.5</v>
      </c>
      <c r="F288" s="39" t="s">
        <v>31</v>
      </c>
      <c r="G288" s="36"/>
      <c r="H288" s="44">
        <f>SUM(B288:B297)</f>
        <v>6031.25</v>
      </c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</row>
    <row r="289" ht="15.75" customHeight="1">
      <c r="A289" s="39" t="str">
        <f>'COSTOS '!B6</f>
        <v>azucar</v>
      </c>
      <c r="B289" s="39">
        <f>B288*D289</f>
        <v>500</v>
      </c>
      <c r="C289" s="41" t="s">
        <v>75</v>
      </c>
      <c r="D289" s="42">
        <v>0.16</v>
      </c>
      <c r="E289" s="43">
        <f>B289*'COSTOS '!E6</f>
        <v>2100</v>
      </c>
      <c r="F289" s="39" t="s">
        <v>33</v>
      </c>
      <c r="G289" s="36"/>
      <c r="H289" s="48">
        <v>250.0</v>
      </c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</row>
    <row r="290" ht="15.75" customHeight="1">
      <c r="A290" s="39" t="str">
        <f>'COSTOS '!B7</f>
        <v>huevos </v>
      </c>
      <c r="B290" s="39">
        <f>B288*D290</f>
        <v>250</v>
      </c>
      <c r="C290" s="41" t="s">
        <v>75</v>
      </c>
      <c r="D290" s="42">
        <v>0.08</v>
      </c>
      <c r="E290" s="43">
        <f>B290*'COSTOS '!E7</f>
        <v>3111.111111</v>
      </c>
      <c r="F290" s="39" t="s">
        <v>36</v>
      </c>
      <c r="G290" s="36"/>
      <c r="H290" s="48">
        <f>H296/36</f>
        <v>30.55555556</v>
      </c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</row>
    <row r="291" ht="15.75" customHeight="1">
      <c r="A291" s="39" t="str">
        <f>'COSTOS '!B8</f>
        <v>sal</v>
      </c>
      <c r="B291" s="39">
        <f>B288*D291</f>
        <v>62.5</v>
      </c>
      <c r="C291" s="41" t="s">
        <v>75</v>
      </c>
      <c r="D291" s="42">
        <v>0.02</v>
      </c>
      <c r="E291" s="43">
        <f>B291*'COSTOS '!E8</f>
        <v>117.1875</v>
      </c>
      <c r="F291" s="39" t="s">
        <v>38</v>
      </c>
      <c r="G291" s="36"/>
      <c r="H291" s="44">
        <f>H288/H290</f>
        <v>197.3863636</v>
      </c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</row>
    <row r="292" ht="15.75" customHeight="1">
      <c r="A292" s="39" t="str">
        <f>'COSTOS '!B9</f>
        <v>mantequilla AT</v>
      </c>
      <c r="B292" s="39">
        <f>B288*D292</f>
        <v>875</v>
      </c>
      <c r="C292" s="41" t="s">
        <v>75</v>
      </c>
      <c r="D292" s="42">
        <v>0.28</v>
      </c>
      <c r="E292" s="43">
        <f>B292*'COSTOS '!E9</f>
        <v>7000</v>
      </c>
      <c r="F292" s="39" t="s">
        <v>40</v>
      </c>
      <c r="G292" s="36"/>
      <c r="H292" s="44">
        <f>H291*H289</f>
        <v>49346.59091</v>
      </c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</row>
    <row r="293" ht="15.75" customHeight="1">
      <c r="A293" s="39" t="str">
        <f>'COSTOS '!B10</f>
        <v>ecencia </v>
      </c>
      <c r="B293" s="39">
        <f>B288*D293</f>
        <v>62.5</v>
      </c>
      <c r="C293" s="41" t="s">
        <v>75</v>
      </c>
      <c r="D293" s="42">
        <v>0.02</v>
      </c>
      <c r="E293" s="43">
        <f>B293*'COSTOS '!E10</f>
        <v>500</v>
      </c>
      <c r="F293" s="39" t="s">
        <v>43</v>
      </c>
      <c r="G293" s="36"/>
      <c r="H293" s="48">
        <f>SUM(E288:E297)</f>
        <v>25166.82986</v>
      </c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</row>
    <row r="294" ht="15.75" customHeight="1">
      <c r="A294" s="39" t="str">
        <f>'COSTOS '!B11</f>
        <v>levadura</v>
      </c>
      <c r="B294" s="39">
        <f>B288*D294</f>
        <v>93.75</v>
      </c>
      <c r="C294" s="41" t="s">
        <v>75</v>
      </c>
      <c r="D294" s="42">
        <v>0.03</v>
      </c>
      <c r="E294" s="43">
        <f>B294*'COSTOS '!E11</f>
        <v>993.75</v>
      </c>
      <c r="F294" s="39" t="s">
        <v>45</v>
      </c>
      <c r="G294" s="36"/>
      <c r="H294" s="48">
        <v>22000.0</v>
      </c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</row>
    <row r="295" ht="15.75" customHeight="1">
      <c r="A295" s="39" t="str">
        <f>'COSTOS '!B16</f>
        <v>hojaldre</v>
      </c>
      <c r="B295" s="39">
        <f>B288*D295</f>
        <v>0</v>
      </c>
      <c r="C295" s="41" t="s">
        <v>75</v>
      </c>
      <c r="D295" s="42">
        <v>0.0</v>
      </c>
      <c r="E295" s="43">
        <f>B295*'COSTOS '!E16</f>
        <v>0</v>
      </c>
      <c r="F295" s="39" t="s">
        <v>53</v>
      </c>
      <c r="G295" s="36"/>
      <c r="H295" s="48">
        <f>H292-H293-H294</f>
        <v>2179.761048</v>
      </c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</row>
    <row r="296" ht="15.75" customHeight="1">
      <c r="A296" s="39" t="str">
        <f>'COSTOS '!B31</f>
        <v>otros</v>
      </c>
      <c r="B296" s="39">
        <f>B288*D296</f>
        <v>31.25</v>
      </c>
      <c r="C296" s="41" t="s">
        <v>75</v>
      </c>
      <c r="D296" s="42">
        <v>0.01</v>
      </c>
      <c r="E296" s="43">
        <f>B296*'COSTOS '!E31</f>
        <v>156.25</v>
      </c>
      <c r="F296" s="39" t="s">
        <v>79</v>
      </c>
      <c r="G296" s="36"/>
      <c r="H296" s="48">
        <v>1100.0</v>
      </c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</row>
    <row r="297" ht="15.75" customHeight="1">
      <c r="A297" s="39" t="str">
        <f>'COSTOS '!B32</f>
        <v>agua</v>
      </c>
      <c r="B297" s="39">
        <f>B288*D297</f>
        <v>1031.25</v>
      </c>
      <c r="C297" s="41" t="s">
        <v>75</v>
      </c>
      <c r="D297" s="42">
        <v>0.33</v>
      </c>
      <c r="E297" s="43">
        <f>B297*'COSTOS '!E32</f>
        <v>1.03125</v>
      </c>
      <c r="F297" s="39" t="s">
        <v>152</v>
      </c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</row>
    <row r="298" ht="15.75" customHeight="1">
      <c r="A298" s="39"/>
      <c r="B298" s="39"/>
      <c r="C298" s="39"/>
      <c r="D298" s="39"/>
      <c r="E298" s="43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</row>
    <row r="299" ht="15.75" customHeight="1">
      <c r="A299" s="39"/>
      <c r="B299" s="39"/>
      <c r="C299" s="39"/>
      <c r="D299" s="39"/>
      <c r="E299" s="43"/>
      <c r="F299" s="43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</row>
    <row r="300" ht="15.75" customHeight="1">
      <c r="A300" s="39"/>
      <c r="B300" s="39"/>
      <c r="C300" s="39"/>
      <c r="D300" s="39"/>
      <c r="E300" s="43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</row>
    <row r="301" ht="15.75" customHeight="1">
      <c r="A301" s="39"/>
      <c r="B301" s="39"/>
      <c r="C301" s="39"/>
      <c r="D301" s="39"/>
      <c r="E301" s="43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</row>
    <row r="302" ht="15.75" customHeight="1">
      <c r="A302" s="45" t="s">
        <v>153</v>
      </c>
      <c r="E302" s="39"/>
      <c r="F302" s="43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</row>
    <row r="303" ht="15.75" customHeight="1">
      <c r="A303" s="39" t="s">
        <v>17</v>
      </c>
      <c r="B303" s="39">
        <v>2000.0</v>
      </c>
      <c r="C303" s="41" t="s">
        <v>75</v>
      </c>
      <c r="D303" s="42">
        <v>1.0</v>
      </c>
      <c r="E303" s="43">
        <f>B303*'COSTOS '!$E5</f>
        <v>7160</v>
      </c>
      <c r="F303" s="43"/>
      <c r="G303" s="39" t="s">
        <v>31</v>
      </c>
      <c r="H303" s="36"/>
      <c r="I303" s="44">
        <f>SUM(B303:B312)</f>
        <v>3500</v>
      </c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</row>
    <row r="304" ht="15.75" customHeight="1">
      <c r="A304" s="39" t="s">
        <v>18</v>
      </c>
      <c r="B304" s="39">
        <f>B303*D304</f>
        <v>200</v>
      </c>
      <c r="C304" s="41" t="s">
        <v>75</v>
      </c>
      <c r="D304" s="42">
        <v>0.1</v>
      </c>
      <c r="E304" s="43">
        <f>B304*'COSTOS '!$E6</f>
        <v>840</v>
      </c>
      <c r="F304" s="43"/>
      <c r="G304" s="39" t="s">
        <v>33</v>
      </c>
      <c r="H304" s="36"/>
      <c r="I304" s="48">
        <v>1000.0</v>
      </c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</row>
    <row r="305" ht="15.75" customHeight="1">
      <c r="A305" s="39" t="s">
        <v>19</v>
      </c>
      <c r="B305" s="39">
        <f>B303*D305</f>
        <v>0</v>
      </c>
      <c r="C305" s="41" t="s">
        <v>75</v>
      </c>
      <c r="D305" s="42">
        <v>0.0</v>
      </c>
      <c r="E305" s="43">
        <f>B305*'COSTOS '!E7</f>
        <v>0</v>
      </c>
      <c r="F305" s="43"/>
      <c r="G305" s="39" t="s">
        <v>36</v>
      </c>
      <c r="H305" s="36"/>
      <c r="I305" s="48">
        <f>I311/36</f>
        <v>86.11111111</v>
      </c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</row>
    <row r="306" ht="15.75" customHeight="1">
      <c r="A306" s="39" t="s">
        <v>20</v>
      </c>
      <c r="B306" s="39">
        <f>B303*D306</f>
        <v>40</v>
      </c>
      <c r="C306" s="41" t="s">
        <v>75</v>
      </c>
      <c r="D306" s="42">
        <v>0.02</v>
      </c>
      <c r="E306" s="43">
        <f>B306*'COSTOS '!$E8</f>
        <v>75</v>
      </c>
      <c r="F306" s="43"/>
      <c r="G306" s="39" t="s">
        <v>38</v>
      </c>
      <c r="H306" s="36"/>
      <c r="I306" s="44">
        <f>I303/I305</f>
        <v>40.64516129</v>
      </c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</row>
    <row r="307" ht="15.75" customHeight="1">
      <c r="A307" s="39" t="s">
        <v>77</v>
      </c>
      <c r="B307" s="39">
        <f>B303*D307</f>
        <v>400</v>
      </c>
      <c r="C307" s="41" t="s">
        <v>75</v>
      </c>
      <c r="D307" s="42">
        <v>0.2</v>
      </c>
      <c r="E307" s="43">
        <f>B307*'COSTOS '!$E9</f>
        <v>3200</v>
      </c>
      <c r="F307" s="43"/>
      <c r="G307" s="39" t="s">
        <v>40</v>
      </c>
      <c r="H307" s="36"/>
      <c r="I307" s="44">
        <f>I306*I304</f>
        <v>40645.16129</v>
      </c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</row>
    <row r="308" ht="15.75" customHeight="1">
      <c r="A308" s="39" t="s">
        <v>110</v>
      </c>
      <c r="B308" s="39">
        <f>B303*D308</f>
        <v>20</v>
      </c>
      <c r="C308" s="41" t="s">
        <v>75</v>
      </c>
      <c r="D308" s="42">
        <v>0.01</v>
      </c>
      <c r="E308" s="43">
        <f>B308*'COSTOS '!$E10</f>
        <v>160</v>
      </c>
      <c r="F308" s="43"/>
      <c r="G308" s="39" t="s">
        <v>43</v>
      </c>
      <c r="H308" s="36"/>
      <c r="I308" s="48">
        <f>SUM(E303:E312)</f>
        <v>11859.8</v>
      </c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</row>
    <row r="309" ht="15.75" customHeight="1">
      <c r="A309" s="39" t="s">
        <v>23</v>
      </c>
      <c r="B309" s="39">
        <f>B303*D309</f>
        <v>40</v>
      </c>
      <c r="C309" s="41" t="s">
        <v>75</v>
      </c>
      <c r="D309" s="42">
        <v>0.02</v>
      </c>
      <c r="E309" s="43">
        <f>B309*'COSTOS '!$E11</f>
        <v>424</v>
      </c>
      <c r="F309" s="43"/>
      <c r="G309" s="39" t="s">
        <v>45</v>
      </c>
      <c r="H309" s="36"/>
      <c r="I309" s="48">
        <v>22000.0</v>
      </c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</row>
    <row r="310" ht="15.75" customHeight="1">
      <c r="A310" s="39" t="s">
        <v>25</v>
      </c>
      <c r="B310" s="39">
        <f>B303*D310</f>
        <v>0</v>
      </c>
      <c r="C310" s="41" t="s">
        <v>75</v>
      </c>
      <c r="D310" s="42">
        <v>0.0</v>
      </c>
      <c r="E310" s="43">
        <f>B310*'COSTOS '!$E12</f>
        <v>0</v>
      </c>
      <c r="F310" s="43"/>
      <c r="G310" s="39" t="s">
        <v>53</v>
      </c>
      <c r="H310" s="36"/>
      <c r="I310" s="48">
        <f>I307-I308-I309</f>
        <v>6785.36129</v>
      </c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</row>
    <row r="311" ht="15.75" customHeight="1">
      <c r="A311" s="39" t="s">
        <v>29</v>
      </c>
      <c r="B311" s="39">
        <f>B303*D311</f>
        <v>0</v>
      </c>
      <c r="C311" s="41" t="s">
        <v>75</v>
      </c>
      <c r="D311" s="42">
        <v>0.0</v>
      </c>
      <c r="E311" s="43">
        <f>B311*'COSTOS '!$E13</f>
        <v>0</v>
      </c>
      <c r="F311" s="43"/>
      <c r="G311" s="39" t="s">
        <v>79</v>
      </c>
      <c r="H311" s="36"/>
      <c r="I311" s="48">
        <v>3100.0</v>
      </c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</row>
    <row r="312" ht="15.75" customHeight="1">
      <c r="A312" s="39" t="s">
        <v>58</v>
      </c>
      <c r="B312" s="39">
        <f>B303*D312</f>
        <v>800</v>
      </c>
      <c r="C312" s="41" t="s">
        <v>75</v>
      </c>
      <c r="D312" s="42">
        <v>0.4</v>
      </c>
      <c r="E312" s="43">
        <f>B312*'COSTOS '!$E32</f>
        <v>0.8</v>
      </c>
      <c r="F312" s="43"/>
      <c r="G312" s="39"/>
      <c r="H312" s="36"/>
      <c r="I312" s="48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</row>
    <row r="313" ht="15.75" customHeight="1">
      <c r="A313" s="39" t="s">
        <v>154</v>
      </c>
      <c r="B313" s="39">
        <f>B303*D313</f>
        <v>2</v>
      </c>
      <c r="C313" s="41" t="s">
        <v>75</v>
      </c>
      <c r="D313" s="42">
        <v>0.001</v>
      </c>
      <c r="E313" s="43"/>
      <c r="F313" s="43"/>
      <c r="G313" s="39"/>
      <c r="H313" s="36"/>
      <c r="I313" s="48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</row>
    <row r="314" ht="15.75" customHeight="1">
      <c r="A314" s="39" t="s">
        <v>155</v>
      </c>
      <c r="B314" s="39">
        <f>B303*D314</f>
        <v>6</v>
      </c>
      <c r="C314" s="41" t="s">
        <v>75</v>
      </c>
      <c r="D314" s="42">
        <v>0.003</v>
      </c>
      <c r="E314" s="43"/>
      <c r="F314" s="43"/>
      <c r="G314" s="39"/>
      <c r="H314" s="36"/>
      <c r="I314" s="48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</row>
    <row r="315" ht="15.75" customHeight="1">
      <c r="A315" s="39"/>
      <c r="B315" s="39"/>
      <c r="C315" s="39"/>
      <c r="D315" s="39"/>
      <c r="E315" s="43"/>
      <c r="F315" s="43"/>
      <c r="G315" s="39"/>
      <c r="H315" s="36"/>
      <c r="I315" s="48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</row>
    <row r="316" ht="15.75" customHeight="1">
      <c r="A316" s="39"/>
      <c r="B316" s="59" t="s">
        <v>156</v>
      </c>
      <c r="C316" s="39"/>
      <c r="D316" s="39"/>
      <c r="E316" s="43"/>
      <c r="F316" s="43"/>
      <c r="G316" s="39"/>
      <c r="H316" s="36"/>
      <c r="I316" s="48"/>
      <c r="J316" s="39"/>
      <c r="K316" s="55">
        <f>+I336+I324+S254</f>
        <v>354824.1222</v>
      </c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</row>
    <row r="317" ht="15.75" customHeight="1">
      <c r="A317" s="39" t="s">
        <v>10</v>
      </c>
      <c r="B317" s="39">
        <v>4000.0</v>
      </c>
      <c r="C317" s="41" t="s">
        <v>75</v>
      </c>
      <c r="D317" s="42">
        <v>1.0</v>
      </c>
      <c r="E317" s="43">
        <f>B317*'COSTOS '!E12</f>
        <v>72000</v>
      </c>
      <c r="F317" s="43"/>
      <c r="G317" s="39" t="s">
        <v>31</v>
      </c>
      <c r="H317" s="36"/>
      <c r="I317" s="44">
        <f>SUM(B317:B327)</f>
        <v>13080</v>
      </c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</row>
    <row r="318" ht="15.75" customHeight="1">
      <c r="A318" s="39" t="s">
        <v>18</v>
      </c>
      <c r="B318" s="39">
        <f>B317*D318</f>
        <v>320</v>
      </c>
      <c r="C318" s="41" t="s">
        <v>75</v>
      </c>
      <c r="D318" s="46">
        <v>0.08</v>
      </c>
      <c r="E318" s="43">
        <f>B318*'COSTOS '!$E6</f>
        <v>1344</v>
      </c>
      <c r="F318" s="43"/>
      <c r="G318" s="39" t="s">
        <v>33</v>
      </c>
      <c r="H318" s="36"/>
      <c r="I318" s="48">
        <v>1000.0</v>
      </c>
      <c r="J318" s="39"/>
      <c r="K318" s="55">
        <f>+K316*30</f>
        <v>10644723.67</v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</row>
    <row r="319" ht="15.75" customHeight="1">
      <c r="A319" s="39" t="s">
        <v>157</v>
      </c>
      <c r="B319" s="39">
        <f>B317*D319</f>
        <v>1240</v>
      </c>
      <c r="C319" s="41" t="s">
        <v>75</v>
      </c>
      <c r="D319" s="46">
        <v>0.31</v>
      </c>
      <c r="E319" s="43">
        <f>B319*'COSTOS '!E9</f>
        <v>9920</v>
      </c>
      <c r="F319" s="43"/>
      <c r="G319" s="39" t="s">
        <v>36</v>
      </c>
      <c r="H319" s="36"/>
      <c r="I319" s="48">
        <f>I325/36</f>
        <v>52.77777778</v>
      </c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</row>
    <row r="320" ht="15.75" customHeight="1">
      <c r="A320" s="39" t="s">
        <v>145</v>
      </c>
      <c r="B320" s="39">
        <f>B317*D320</f>
        <v>1120</v>
      </c>
      <c r="C320" s="41" t="s">
        <v>75</v>
      </c>
      <c r="D320" s="42">
        <v>0.28</v>
      </c>
      <c r="E320" s="43">
        <f>B320*'COSTOS '!$E15</f>
        <v>7941.818182</v>
      </c>
      <c r="F320" s="43"/>
      <c r="G320" s="39" t="s">
        <v>38</v>
      </c>
      <c r="H320" s="36"/>
      <c r="I320" s="44">
        <f>I317/I319</f>
        <v>247.8315789</v>
      </c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</row>
    <row r="321" ht="15.75" customHeight="1">
      <c r="A321" s="39" t="s">
        <v>146</v>
      </c>
      <c r="B321" s="39">
        <f>B317*D321</f>
        <v>3000</v>
      </c>
      <c r="C321" s="41" t="s">
        <v>75</v>
      </c>
      <c r="D321" s="42">
        <v>0.75</v>
      </c>
      <c r="E321" s="43">
        <f>B321*'COSTOS '!$E23</f>
        <v>32400</v>
      </c>
      <c r="F321" s="43"/>
      <c r="G321" s="39" t="s">
        <v>40</v>
      </c>
      <c r="H321" s="36"/>
      <c r="I321" s="44">
        <f>I320*I318</f>
        <v>247831.5789</v>
      </c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</row>
    <row r="322" ht="15.75" customHeight="1">
      <c r="A322" s="39" t="s">
        <v>147</v>
      </c>
      <c r="B322" s="39">
        <f>B317*D322</f>
        <v>400</v>
      </c>
      <c r="C322" s="41" t="s">
        <v>75</v>
      </c>
      <c r="D322" s="42">
        <v>0.1</v>
      </c>
      <c r="E322" s="43">
        <f>B322*'COSTOS '!$E7</f>
        <v>4977.777778</v>
      </c>
      <c r="F322" s="43"/>
      <c r="G322" s="39" t="s">
        <v>43</v>
      </c>
      <c r="H322" s="36"/>
      <c r="I322" s="48">
        <f>SUM(E317:E327)</f>
        <v>130018.476</v>
      </c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</row>
    <row r="323" ht="15.75" customHeight="1">
      <c r="A323" s="39" t="s">
        <v>125</v>
      </c>
      <c r="B323" s="39">
        <f>B317*D323</f>
        <v>0</v>
      </c>
      <c r="C323" s="41" t="s">
        <v>75</v>
      </c>
      <c r="D323" s="42">
        <v>0.0</v>
      </c>
      <c r="E323" s="43">
        <f>B323*'COSTOS '!E17</f>
        <v>0</v>
      </c>
      <c r="F323" s="43"/>
      <c r="G323" s="39" t="s">
        <v>45</v>
      </c>
      <c r="H323" s="36"/>
      <c r="I323" s="48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</row>
    <row r="324" ht="15.75" customHeight="1">
      <c r="A324" s="39" t="s">
        <v>158</v>
      </c>
      <c r="B324" s="39">
        <f>B317*D324</f>
        <v>2800</v>
      </c>
      <c r="C324" s="41" t="s">
        <v>75</v>
      </c>
      <c r="D324" s="42">
        <v>0.7</v>
      </c>
      <c r="E324" s="43">
        <f>B324*'COSTOS '!$E89</f>
        <v>0</v>
      </c>
      <c r="F324" s="43"/>
      <c r="G324" s="39" t="s">
        <v>53</v>
      </c>
      <c r="H324" s="36"/>
      <c r="I324" s="48">
        <f>I321-I322-I323</f>
        <v>117813.103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</row>
    <row r="325" ht="15.75" customHeight="1">
      <c r="A325" s="39" t="s">
        <v>159</v>
      </c>
      <c r="B325" s="39">
        <f>B317*D325</f>
        <v>0</v>
      </c>
      <c r="C325" s="41" t="s">
        <v>75</v>
      </c>
      <c r="D325" s="42">
        <v>0.0</v>
      </c>
      <c r="E325" s="43">
        <f>B325*'COSTOS '!E9</f>
        <v>0</v>
      </c>
      <c r="F325" s="43"/>
      <c r="G325" s="39" t="s">
        <v>79</v>
      </c>
      <c r="H325" s="36"/>
      <c r="I325" s="49">
        <v>1900.0</v>
      </c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</row>
    <row r="326" ht="15.75" customHeight="1">
      <c r="A326" s="39" t="s">
        <v>160</v>
      </c>
      <c r="B326" s="39">
        <f>B317*D326</f>
        <v>160</v>
      </c>
      <c r="C326" s="41" t="s">
        <v>75</v>
      </c>
      <c r="D326" s="42">
        <v>0.04</v>
      </c>
      <c r="E326" s="43">
        <f>B326*'COSTOS '!E33</f>
        <v>1018.88</v>
      </c>
      <c r="F326" s="43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</row>
    <row r="327" ht="15.75" customHeight="1">
      <c r="A327" s="39" t="s">
        <v>161</v>
      </c>
      <c r="B327" s="39">
        <f>B317*D327</f>
        <v>40</v>
      </c>
      <c r="C327" s="41" t="s">
        <v>75</v>
      </c>
      <c r="D327" s="42">
        <v>0.01</v>
      </c>
      <c r="E327" s="43">
        <f>B327*'COSTOS '!E19</f>
        <v>416</v>
      </c>
      <c r="F327" s="43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</row>
    <row r="328" ht="15.75" customHeight="1">
      <c r="A328" s="39"/>
      <c r="B328" s="59" t="s">
        <v>162</v>
      </c>
      <c r="C328" s="39"/>
      <c r="D328" s="39"/>
      <c r="E328" s="43"/>
      <c r="F328" s="43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</row>
    <row r="329" ht="15.75" customHeight="1">
      <c r="A329" s="39" t="s">
        <v>10</v>
      </c>
      <c r="B329" s="39">
        <v>2000.0</v>
      </c>
      <c r="C329" s="41" t="s">
        <v>75</v>
      </c>
      <c r="D329" s="42">
        <v>1.0</v>
      </c>
      <c r="E329" s="43">
        <f>B329*'COSTOS '!E12</f>
        <v>36000</v>
      </c>
      <c r="F329" s="43"/>
      <c r="G329" s="39" t="s">
        <v>31</v>
      </c>
      <c r="H329" s="36"/>
      <c r="I329" s="44">
        <f>SUM(B329:B337)</f>
        <v>6100</v>
      </c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</row>
    <row r="330" ht="15.75" customHeight="1">
      <c r="A330" s="39" t="s">
        <v>95</v>
      </c>
      <c r="B330" s="39">
        <f>B329*D330</f>
        <v>260</v>
      </c>
      <c r="C330" s="41" t="s">
        <v>75</v>
      </c>
      <c r="D330" s="42">
        <v>0.13</v>
      </c>
      <c r="E330" s="43">
        <f>B330*'COSTOS '!$E9</f>
        <v>2080</v>
      </c>
      <c r="F330" s="43"/>
      <c r="G330" s="39" t="s">
        <v>33</v>
      </c>
      <c r="H330" s="36"/>
      <c r="I330" s="48">
        <v>1000.0</v>
      </c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</row>
    <row r="331" ht="15.75" customHeight="1">
      <c r="A331" s="39" t="s">
        <v>157</v>
      </c>
      <c r="B331" s="39">
        <f>B329*D331</f>
        <v>540</v>
      </c>
      <c r="C331" s="41" t="s">
        <v>75</v>
      </c>
      <c r="D331" s="42">
        <v>0.27</v>
      </c>
      <c r="E331" s="43">
        <f>B331*'COSTOS '!E9</f>
        <v>4320</v>
      </c>
      <c r="F331" s="43"/>
      <c r="G331" s="39" t="s">
        <v>36</v>
      </c>
      <c r="H331" s="36"/>
      <c r="I331" s="48">
        <f>I337/36</f>
        <v>55.55555556</v>
      </c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</row>
    <row r="332" ht="15.75" customHeight="1">
      <c r="A332" s="39" t="s">
        <v>145</v>
      </c>
      <c r="B332" s="39">
        <f>B329*D332</f>
        <v>0</v>
      </c>
      <c r="C332" s="41" t="s">
        <v>75</v>
      </c>
      <c r="D332" s="42">
        <v>0.0</v>
      </c>
      <c r="E332" s="43">
        <f>B332*'COSTOS '!$E27</f>
        <v>0</v>
      </c>
      <c r="F332" s="43"/>
      <c r="G332" s="39" t="s">
        <v>38</v>
      </c>
      <c r="H332" s="36"/>
      <c r="I332" s="44">
        <f>I329/I331</f>
        <v>109.8</v>
      </c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</row>
    <row r="333" ht="15.75" customHeight="1">
      <c r="A333" s="39" t="s">
        <v>146</v>
      </c>
      <c r="B333" s="39">
        <f>B329*D333</f>
        <v>2000</v>
      </c>
      <c r="C333" s="41" t="s">
        <v>75</v>
      </c>
      <c r="D333" s="42">
        <v>1.0</v>
      </c>
      <c r="E333" s="43">
        <f>B333*'COSTOS '!E23</f>
        <v>21600</v>
      </c>
      <c r="F333" s="43"/>
      <c r="G333" s="39" t="s">
        <v>40</v>
      </c>
      <c r="H333" s="36"/>
      <c r="I333" s="44">
        <f>I332*I330</f>
        <v>109800</v>
      </c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</row>
    <row r="334" ht="15.75" customHeight="1">
      <c r="A334" s="39" t="s">
        <v>147</v>
      </c>
      <c r="B334" s="39">
        <f>B329*D334</f>
        <v>240</v>
      </c>
      <c r="C334" s="41" t="s">
        <v>75</v>
      </c>
      <c r="D334" s="42">
        <v>0.12</v>
      </c>
      <c r="E334" s="43">
        <f>B334*'COSTOS '!$E19</f>
        <v>2496</v>
      </c>
      <c r="F334" s="43"/>
      <c r="G334" s="39" t="s">
        <v>43</v>
      </c>
      <c r="H334" s="36"/>
      <c r="I334" s="48">
        <f>SUM(E329:E336)</f>
        <v>66496</v>
      </c>
      <c r="J334" s="48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</row>
    <row r="335" ht="15.75" customHeight="1">
      <c r="A335" s="39" t="s">
        <v>125</v>
      </c>
      <c r="B335" s="39">
        <f>B329*D335</f>
        <v>0</v>
      </c>
      <c r="C335" s="41" t="s">
        <v>75</v>
      </c>
      <c r="D335" s="42">
        <v>0.0</v>
      </c>
      <c r="E335" s="43">
        <f>B335*'COSTOS '!E29</f>
        <v>0</v>
      </c>
      <c r="F335" s="43"/>
      <c r="G335" s="39" t="s">
        <v>45</v>
      </c>
      <c r="H335" s="36"/>
      <c r="I335" s="48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</row>
    <row r="336" ht="15.75" customHeight="1">
      <c r="A336" s="39" t="s">
        <v>58</v>
      </c>
      <c r="B336" s="39">
        <f>B329*D336</f>
        <v>600</v>
      </c>
      <c r="C336" s="41" t="s">
        <v>75</v>
      </c>
      <c r="D336" s="42">
        <v>0.3</v>
      </c>
      <c r="E336" s="43">
        <f>B336*'COSTOS '!$E101</f>
        <v>0</v>
      </c>
      <c r="F336" s="43"/>
      <c r="G336" s="39" t="s">
        <v>53</v>
      </c>
      <c r="H336" s="36"/>
      <c r="I336" s="48">
        <f>I333-I334-I335</f>
        <v>43304</v>
      </c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</row>
    <row r="337" ht="15.75" customHeight="1">
      <c r="A337" s="39" t="s">
        <v>37</v>
      </c>
      <c r="B337" s="39">
        <f>B329*D337</f>
        <v>460</v>
      </c>
      <c r="C337" s="41" t="s">
        <v>75</v>
      </c>
      <c r="D337" s="42">
        <v>0.23</v>
      </c>
      <c r="E337" s="43">
        <f>B337*'COSTOS '!E21</f>
        <v>670.8333333</v>
      </c>
      <c r="F337" s="43"/>
      <c r="G337" s="39" t="s">
        <v>79</v>
      </c>
      <c r="H337" s="36"/>
      <c r="I337" s="48">
        <v>2000.0</v>
      </c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</row>
    <row r="338" ht="15.75" customHeight="1">
      <c r="A338" s="39"/>
      <c r="B338" s="39"/>
      <c r="C338" s="39"/>
      <c r="D338" s="39"/>
      <c r="E338" s="43"/>
      <c r="F338" s="43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</row>
    <row r="339" ht="15.75" customHeight="1">
      <c r="A339" s="39"/>
      <c r="B339" s="39"/>
      <c r="C339" s="39"/>
      <c r="D339" s="39"/>
      <c r="E339" s="43"/>
      <c r="F339" s="43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</row>
    <row r="340" ht="15.75" customHeight="1">
      <c r="A340" s="60" t="s">
        <v>163</v>
      </c>
      <c r="C340" s="39"/>
      <c r="D340" s="39"/>
      <c r="E340" s="43"/>
      <c r="F340" s="43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</row>
    <row r="341" ht="15.75" customHeight="1">
      <c r="A341" s="39" t="s">
        <v>17</v>
      </c>
      <c r="B341" s="40">
        <v>9500.0</v>
      </c>
      <c r="C341" s="41" t="s">
        <v>75</v>
      </c>
      <c r="D341" s="42">
        <v>1.0</v>
      </c>
      <c r="E341" s="43">
        <f>B341*'COSTOS '!$E5</f>
        <v>34010</v>
      </c>
      <c r="F341" s="43"/>
      <c r="G341" s="39" t="s">
        <v>31</v>
      </c>
      <c r="H341" s="36"/>
      <c r="I341" s="44">
        <f>SUM(B341:B350)</f>
        <v>17432.5</v>
      </c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</row>
    <row r="342" ht="15.75" customHeight="1">
      <c r="A342" s="39" t="s">
        <v>18</v>
      </c>
      <c r="B342" s="39">
        <f>B341*D342</f>
        <v>1235</v>
      </c>
      <c r="C342" s="41" t="s">
        <v>75</v>
      </c>
      <c r="D342" s="42">
        <v>0.13</v>
      </c>
      <c r="E342" s="43">
        <f>B342*'COSTOS '!$E6</f>
        <v>5187</v>
      </c>
      <c r="F342" s="43"/>
      <c r="G342" s="39" t="s">
        <v>33</v>
      </c>
      <c r="H342" s="36"/>
      <c r="I342" s="49">
        <v>714.0</v>
      </c>
      <c r="J342" s="39">
        <f>5000/7</f>
        <v>714.2857143</v>
      </c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</row>
    <row r="343" ht="15.75" customHeight="1">
      <c r="A343" s="39" t="s">
        <v>19</v>
      </c>
      <c r="B343" s="39">
        <f>B341*D343</f>
        <v>665</v>
      </c>
      <c r="C343" s="41" t="s">
        <v>75</v>
      </c>
      <c r="D343" s="42">
        <v>0.07</v>
      </c>
      <c r="E343" s="43">
        <f>B343*'COSTOS '!$E7</f>
        <v>8275.555556</v>
      </c>
      <c r="F343" s="43"/>
      <c r="G343" s="39" t="s">
        <v>36</v>
      </c>
      <c r="H343" s="36"/>
      <c r="I343" s="48">
        <f>I349/36</f>
        <v>58.33333333</v>
      </c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</row>
    <row r="344" ht="15.75" customHeight="1">
      <c r="A344" s="39" t="s">
        <v>20</v>
      </c>
      <c r="B344" s="39">
        <f>B341*D344</f>
        <v>190</v>
      </c>
      <c r="C344" s="41" t="s">
        <v>75</v>
      </c>
      <c r="D344" s="42">
        <v>0.02</v>
      </c>
      <c r="E344" s="43">
        <f>B344*'COSTOS '!$E8</f>
        <v>356.25</v>
      </c>
      <c r="F344" s="43"/>
      <c r="G344" s="39" t="s">
        <v>38</v>
      </c>
      <c r="H344" s="36"/>
      <c r="I344" s="44">
        <f>I341/I343</f>
        <v>298.8428571</v>
      </c>
      <c r="J344" s="39">
        <f>I344/25</f>
        <v>11.95371429</v>
      </c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</row>
    <row r="345" ht="15.75" customHeight="1">
      <c r="A345" s="39" t="s">
        <v>77</v>
      </c>
      <c r="B345" s="39">
        <f>B341*D345</f>
        <v>2565</v>
      </c>
      <c r="C345" s="41" t="s">
        <v>75</v>
      </c>
      <c r="D345" s="42">
        <v>0.27</v>
      </c>
      <c r="E345" s="43">
        <f>B345*'COSTOS '!$E9</f>
        <v>20520</v>
      </c>
      <c r="F345" s="43"/>
      <c r="G345" s="39" t="s">
        <v>40</v>
      </c>
      <c r="H345" s="36"/>
      <c r="I345" s="44">
        <f>I344*I342</f>
        <v>213373.8</v>
      </c>
      <c r="J345" s="55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</row>
    <row r="346" ht="15.75" customHeight="1">
      <c r="A346" s="39" t="s">
        <v>164</v>
      </c>
      <c r="B346" s="39">
        <f>B341*D346</f>
        <v>95</v>
      </c>
      <c r="C346" s="41" t="s">
        <v>75</v>
      </c>
      <c r="D346" s="42">
        <v>0.01</v>
      </c>
      <c r="E346" s="43">
        <f>B346*'COSTOS '!$E10</f>
        <v>760</v>
      </c>
      <c r="F346" s="43"/>
      <c r="G346" s="39" t="s">
        <v>43</v>
      </c>
      <c r="H346" s="36"/>
      <c r="I346" s="48">
        <f>SUM(E341:E351)</f>
        <v>116051.1556</v>
      </c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</row>
    <row r="347" ht="15.75" customHeight="1">
      <c r="A347" s="39" t="s">
        <v>23</v>
      </c>
      <c r="B347" s="39">
        <f>B341*D347</f>
        <v>285</v>
      </c>
      <c r="C347" s="41" t="s">
        <v>75</v>
      </c>
      <c r="D347" s="42">
        <v>0.03</v>
      </c>
      <c r="E347" s="43">
        <f>B347*'COSTOS '!E11</f>
        <v>3021</v>
      </c>
      <c r="F347" s="43"/>
      <c r="G347" s="39" t="s">
        <v>45</v>
      </c>
      <c r="H347" s="36"/>
      <c r="I347" s="48">
        <v>22000.0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</row>
    <row r="348" ht="15.75" customHeight="1">
      <c r="A348" s="39" t="s">
        <v>25</v>
      </c>
      <c r="B348" s="39">
        <f>B341*D348</f>
        <v>47.5</v>
      </c>
      <c r="C348" s="41" t="s">
        <v>75</v>
      </c>
      <c r="D348" s="42">
        <v>0.005</v>
      </c>
      <c r="E348" s="43">
        <f>B348*'COSTOS '!$E13</f>
        <v>1168.5</v>
      </c>
      <c r="F348" s="43"/>
      <c r="G348" s="39" t="s">
        <v>53</v>
      </c>
      <c r="H348" s="36"/>
      <c r="I348" s="48">
        <f>I345-I346-I347</f>
        <v>75322.64444</v>
      </c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</row>
    <row r="349" ht="15.75" customHeight="1">
      <c r="A349" s="39" t="s">
        <v>29</v>
      </c>
      <c r="B349" s="39">
        <f>B341*D349</f>
        <v>0</v>
      </c>
      <c r="C349" s="41" t="s">
        <v>75</v>
      </c>
      <c r="D349" s="42">
        <v>0.0</v>
      </c>
      <c r="E349" s="43">
        <f>B349*'COSTOS '!$E17</f>
        <v>0</v>
      </c>
      <c r="F349" s="43"/>
      <c r="G349" s="39" t="s">
        <v>79</v>
      </c>
      <c r="H349" s="36"/>
      <c r="I349" s="49">
        <v>2100.0</v>
      </c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</row>
    <row r="350" ht="15.75" customHeight="1">
      <c r="A350" s="39" t="s">
        <v>58</v>
      </c>
      <c r="B350" s="39">
        <f>B341*D350</f>
        <v>2850</v>
      </c>
      <c r="C350" s="41" t="s">
        <v>75</v>
      </c>
      <c r="D350" s="42">
        <v>0.3</v>
      </c>
      <c r="E350" s="43">
        <f>B350*'COSTOS '!$E32</f>
        <v>2.85</v>
      </c>
      <c r="F350" s="43"/>
      <c r="G350" s="39"/>
      <c r="H350" s="36"/>
      <c r="I350" s="48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</row>
    <row r="351" ht="15.75" customHeight="1">
      <c r="A351" s="39" t="s">
        <v>60</v>
      </c>
      <c r="B351" s="39">
        <f>B341*D351</f>
        <v>2375</v>
      </c>
      <c r="C351" s="41" t="s">
        <v>75</v>
      </c>
      <c r="D351" s="46">
        <v>0.25</v>
      </c>
      <c r="E351" s="43">
        <f>B351*'COSTOS '!$E12</f>
        <v>42750</v>
      </c>
      <c r="F351" s="43"/>
      <c r="G351" s="39"/>
      <c r="H351" s="36"/>
      <c r="I351" s="48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</row>
    <row r="352" ht="15.75" customHeight="1">
      <c r="A352" s="39"/>
      <c r="B352" s="39"/>
      <c r="C352" s="41"/>
      <c r="D352" s="40" t="s">
        <v>165</v>
      </c>
      <c r="E352" s="43"/>
      <c r="F352" s="43"/>
      <c r="G352" s="39"/>
      <c r="H352" s="36"/>
      <c r="I352" s="48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</row>
    <row r="353" ht="15.75" customHeight="1">
      <c r="A353" s="39"/>
      <c r="B353" s="39"/>
      <c r="C353" s="41"/>
      <c r="D353" s="42"/>
      <c r="E353" s="43"/>
      <c r="F353" s="43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</row>
    <row r="354" ht="15.75" customHeight="1">
      <c r="A354" s="59" t="s">
        <v>166</v>
      </c>
      <c r="B354" s="36"/>
      <c r="C354" s="39"/>
      <c r="D354" s="39"/>
      <c r="E354" s="43"/>
      <c r="F354" s="43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</row>
    <row r="355" ht="15.75" customHeight="1">
      <c r="A355" s="39" t="s">
        <v>17</v>
      </c>
      <c r="B355" s="39">
        <f>7500</f>
        <v>7500</v>
      </c>
      <c r="C355" s="41" t="s">
        <v>75</v>
      </c>
      <c r="D355" s="42">
        <v>1.0</v>
      </c>
      <c r="E355" s="43">
        <f>B355*'COSTOS '!$E5</f>
        <v>26850</v>
      </c>
      <c r="F355" s="43"/>
      <c r="G355" s="39" t="s">
        <v>31</v>
      </c>
      <c r="H355" s="36"/>
      <c r="I355" s="44">
        <f>SUM(B355:B364)</f>
        <v>13485</v>
      </c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</row>
    <row r="356" ht="15.75" customHeight="1">
      <c r="A356" s="39" t="s">
        <v>18</v>
      </c>
      <c r="B356" s="39">
        <f>B355*D356</f>
        <v>750</v>
      </c>
      <c r="C356" s="41" t="s">
        <v>75</v>
      </c>
      <c r="D356" s="42">
        <v>0.1</v>
      </c>
      <c r="E356" s="43">
        <f>B356*'COSTOS '!$E6</f>
        <v>3150</v>
      </c>
      <c r="F356" s="43"/>
      <c r="G356" s="39" t="s">
        <v>33</v>
      </c>
      <c r="H356" s="36"/>
      <c r="I356" s="49">
        <v>1500.0</v>
      </c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</row>
    <row r="357" ht="15.75" customHeight="1">
      <c r="A357" s="39" t="s">
        <v>19</v>
      </c>
      <c r="B357" s="39">
        <f>B355*D357</f>
        <v>750</v>
      </c>
      <c r="C357" s="41" t="s">
        <v>75</v>
      </c>
      <c r="D357" s="42">
        <v>0.1</v>
      </c>
      <c r="E357" s="43">
        <f>B357*'COSTOS '!$E7</f>
        <v>9333.333333</v>
      </c>
      <c r="F357" s="43"/>
      <c r="G357" s="39" t="s">
        <v>36</v>
      </c>
      <c r="H357" s="36"/>
      <c r="I357" s="48">
        <f>I363/36</f>
        <v>105.5555556</v>
      </c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</row>
    <row r="358" ht="15.75" customHeight="1">
      <c r="A358" s="39" t="s">
        <v>20</v>
      </c>
      <c r="B358" s="39">
        <f>B355*D358</f>
        <v>112.5</v>
      </c>
      <c r="C358" s="41" t="s">
        <v>75</v>
      </c>
      <c r="D358" s="52">
        <v>0.015</v>
      </c>
      <c r="E358" s="43">
        <f>B358*'COSTOS '!$E22</f>
        <v>787.5</v>
      </c>
      <c r="F358" s="43"/>
      <c r="G358" s="39" t="s">
        <v>38</v>
      </c>
      <c r="H358" s="36"/>
      <c r="I358" s="44">
        <f>I355/I357</f>
        <v>127.7526316</v>
      </c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</row>
    <row r="359" ht="15.75" customHeight="1">
      <c r="A359" s="39" t="s">
        <v>77</v>
      </c>
      <c r="B359" s="39">
        <f>B355*D359</f>
        <v>1125</v>
      </c>
      <c r="C359" s="41" t="s">
        <v>75</v>
      </c>
      <c r="D359" s="42">
        <v>0.15</v>
      </c>
      <c r="E359" s="43">
        <f>B359*'COSTOS '!$E8</f>
        <v>2109.375</v>
      </c>
      <c r="F359" s="43"/>
      <c r="G359" s="39" t="s">
        <v>40</v>
      </c>
      <c r="H359" s="36"/>
      <c r="I359" s="44">
        <f>I358*I356</f>
        <v>191628.9474</v>
      </c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</row>
    <row r="360" ht="15.75" customHeight="1">
      <c r="A360" s="39" t="s">
        <v>164</v>
      </c>
      <c r="B360" s="39">
        <f>B355*D360</f>
        <v>75</v>
      </c>
      <c r="C360" s="41" t="s">
        <v>75</v>
      </c>
      <c r="D360" s="42">
        <v>0.01</v>
      </c>
      <c r="E360" s="43">
        <f>B360*'COSTOS '!$E24</f>
        <v>742.5</v>
      </c>
      <c r="F360" s="43"/>
      <c r="G360" s="39" t="s">
        <v>43</v>
      </c>
      <c r="H360" s="36"/>
      <c r="I360" s="48">
        <f>SUM(E355:E364)</f>
        <v>63404.73333</v>
      </c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</row>
    <row r="361" ht="15.75" customHeight="1">
      <c r="A361" s="39" t="s">
        <v>23</v>
      </c>
      <c r="B361" s="39">
        <f>B355*D361</f>
        <v>22.5</v>
      </c>
      <c r="C361" s="41" t="s">
        <v>75</v>
      </c>
      <c r="D361" s="42">
        <v>0.003</v>
      </c>
      <c r="E361" s="43">
        <f>B361*'COSTOS '!E10</f>
        <v>180</v>
      </c>
      <c r="F361" s="43"/>
      <c r="G361" s="39" t="s">
        <v>45</v>
      </c>
      <c r="H361" s="36"/>
      <c r="I361" s="48">
        <v>22000.0</v>
      </c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</row>
    <row r="362" ht="15.75" customHeight="1">
      <c r="A362" s="39" t="s">
        <v>25</v>
      </c>
      <c r="B362" s="39">
        <f>B355*D362</f>
        <v>0</v>
      </c>
      <c r="C362" s="41" t="s">
        <v>75</v>
      </c>
      <c r="D362" s="42">
        <v>0.0</v>
      </c>
      <c r="E362" s="43">
        <f>B362*'COSTOS '!$E13</f>
        <v>0</v>
      </c>
      <c r="F362" s="43"/>
      <c r="G362" s="39" t="s">
        <v>53</v>
      </c>
      <c r="H362" s="36"/>
      <c r="I362" s="48">
        <f>I359-I360-I361</f>
        <v>106224.214</v>
      </c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</row>
    <row r="363" ht="15.75" customHeight="1">
      <c r="A363" s="39" t="s">
        <v>58</v>
      </c>
      <c r="B363" s="39">
        <f>B355*D363</f>
        <v>2025</v>
      </c>
      <c r="C363" s="41" t="s">
        <v>75</v>
      </c>
      <c r="D363" s="42">
        <v>0.27</v>
      </c>
      <c r="E363" s="43">
        <f>B363*'COSTOS '!$E32</f>
        <v>2.025</v>
      </c>
      <c r="F363" s="43"/>
      <c r="G363" s="39" t="s">
        <v>79</v>
      </c>
      <c r="H363" s="36"/>
      <c r="I363" s="49">
        <v>3800.0</v>
      </c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</row>
    <row r="364" ht="15.75" customHeight="1">
      <c r="A364" s="39" t="s">
        <v>60</v>
      </c>
      <c r="B364" s="39">
        <f>B355*D364</f>
        <v>1125</v>
      </c>
      <c r="C364" s="41" t="s">
        <v>75</v>
      </c>
      <c r="D364" s="46">
        <v>0.15</v>
      </c>
      <c r="E364" s="43">
        <f>B364*'COSTOS '!$E12</f>
        <v>20250</v>
      </c>
      <c r="F364" s="43"/>
      <c r="G364" s="39"/>
      <c r="H364" s="36"/>
      <c r="I364" s="48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</row>
    <row r="365" ht="15.75" customHeight="1">
      <c r="A365" s="39"/>
      <c r="B365" s="39"/>
      <c r="C365" s="39"/>
      <c r="D365" s="39"/>
      <c r="E365" s="43"/>
      <c r="F365" s="43"/>
      <c r="G365" s="39"/>
      <c r="H365" s="36"/>
      <c r="I365" s="48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</row>
    <row r="366" ht="15.75" customHeight="1">
      <c r="A366" s="39"/>
      <c r="B366" s="39"/>
      <c r="C366" s="39"/>
      <c r="D366" s="39"/>
      <c r="E366" s="43"/>
      <c r="F366" s="43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</row>
    <row r="367" ht="15.75" customHeight="1">
      <c r="A367" s="39"/>
      <c r="B367" s="39"/>
      <c r="C367" s="39"/>
      <c r="D367" s="39"/>
      <c r="E367" s="43"/>
      <c r="F367" s="43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</row>
    <row r="368" ht="15.75" customHeight="1">
      <c r="A368" s="39"/>
      <c r="B368" s="39"/>
      <c r="C368" s="39"/>
      <c r="D368" s="39"/>
      <c r="E368" s="43"/>
      <c r="F368" s="43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</row>
    <row r="369" ht="15.75" customHeight="1">
      <c r="A369" s="39"/>
      <c r="B369" s="39"/>
      <c r="C369" s="39"/>
      <c r="D369" s="39"/>
      <c r="E369" s="43"/>
      <c r="F369" s="45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</row>
    <row r="370" ht="15.75" customHeight="1">
      <c r="A370" s="39"/>
      <c r="B370" s="39"/>
      <c r="C370" s="39"/>
      <c r="D370" s="39"/>
      <c r="E370" s="43"/>
      <c r="F370" s="43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</row>
    <row r="371" ht="15.75" customHeight="1">
      <c r="A371" s="39"/>
      <c r="B371" s="39"/>
      <c r="C371" s="39"/>
      <c r="D371" s="39"/>
      <c r="E371" s="43"/>
      <c r="F371" s="43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</row>
    <row r="372" ht="15.75" customHeight="1">
      <c r="A372" s="39"/>
      <c r="B372" s="39"/>
      <c r="C372" s="39"/>
      <c r="D372" s="39"/>
      <c r="E372" s="43"/>
      <c r="F372" s="43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</row>
    <row r="373" ht="15.75" customHeight="1">
      <c r="A373" s="39"/>
      <c r="B373" s="39"/>
      <c r="C373" s="39"/>
      <c r="D373" s="39"/>
      <c r="E373" s="43"/>
      <c r="F373" s="43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</row>
    <row r="374" ht="15.75" customHeight="1">
      <c r="A374" s="39"/>
      <c r="B374" s="39"/>
      <c r="C374" s="39"/>
      <c r="D374" s="39"/>
      <c r="E374" s="43"/>
      <c r="F374" s="43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</row>
    <row r="375" ht="15.75" customHeight="1">
      <c r="A375" s="39"/>
      <c r="B375" s="39"/>
      <c r="C375" s="39"/>
      <c r="D375" s="39"/>
      <c r="E375" s="43"/>
      <c r="F375" s="43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</row>
    <row r="376" ht="15.75" customHeight="1">
      <c r="A376" s="39"/>
      <c r="B376" s="39"/>
      <c r="C376" s="39"/>
      <c r="D376" s="39"/>
      <c r="E376" s="43"/>
      <c r="F376" s="43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</row>
    <row r="377" ht="15.75" customHeight="1">
      <c r="A377" s="39"/>
      <c r="B377" s="39"/>
      <c r="C377" s="39"/>
      <c r="D377" s="39"/>
      <c r="E377" s="43"/>
      <c r="F377" s="43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</row>
    <row r="378" ht="15.75" customHeight="1">
      <c r="A378" s="39"/>
      <c r="B378" s="39"/>
      <c r="C378" s="39"/>
      <c r="D378" s="39"/>
      <c r="E378" s="43"/>
      <c r="F378" s="43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</row>
    <row r="379" ht="15.75" customHeight="1">
      <c r="A379" s="39"/>
      <c r="B379" s="39"/>
      <c r="C379" s="39"/>
      <c r="D379" s="39"/>
      <c r="E379" s="43"/>
      <c r="F379" s="43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</row>
    <row r="380" ht="15.75" customHeight="1">
      <c r="A380" s="39"/>
      <c r="B380" s="39"/>
      <c r="C380" s="39"/>
      <c r="D380" s="39"/>
      <c r="E380" s="43"/>
      <c r="F380" s="43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</row>
    <row r="381" ht="15.75" customHeight="1">
      <c r="A381" s="39"/>
      <c r="B381" s="39"/>
      <c r="C381" s="39"/>
      <c r="D381" s="39"/>
      <c r="E381" s="43"/>
      <c r="F381" s="43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</row>
    <row r="382" ht="15.75" customHeight="1">
      <c r="A382" s="39"/>
      <c r="B382" s="39"/>
      <c r="C382" s="39"/>
      <c r="D382" s="39"/>
      <c r="E382" s="43"/>
      <c r="F382" s="43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</row>
    <row r="383" ht="15.75" customHeight="1">
      <c r="A383" s="39"/>
      <c r="B383" s="39"/>
      <c r="C383" s="39"/>
      <c r="D383" s="39"/>
      <c r="E383" s="43"/>
      <c r="F383" s="43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</row>
    <row r="384" ht="15.75" customHeight="1">
      <c r="A384" s="39"/>
      <c r="B384" s="39"/>
      <c r="C384" s="39"/>
      <c r="D384" s="39"/>
      <c r="E384" s="43"/>
      <c r="F384" s="43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</row>
    <row r="385" ht="15.75" customHeight="1">
      <c r="A385" s="39"/>
      <c r="B385" s="39"/>
      <c r="C385" s="39"/>
      <c r="D385" s="39"/>
      <c r="E385" s="43"/>
      <c r="F385" s="43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</row>
    <row r="386" ht="15.75" customHeight="1">
      <c r="A386" s="39"/>
      <c r="B386" s="39"/>
      <c r="C386" s="39"/>
      <c r="D386" s="39"/>
      <c r="E386" s="43"/>
      <c r="F386" s="43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</row>
    <row r="387" ht="15.75" customHeight="1">
      <c r="A387" s="39"/>
      <c r="B387" s="39"/>
      <c r="C387" s="39"/>
      <c r="D387" s="39"/>
      <c r="E387" s="43"/>
      <c r="F387" s="43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</row>
    <row r="388" ht="15.75" customHeight="1">
      <c r="A388" s="39"/>
      <c r="B388" s="39"/>
      <c r="C388" s="39"/>
      <c r="D388" s="39"/>
      <c r="E388" s="43"/>
      <c r="F388" s="43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</row>
    <row r="389" ht="15.75" customHeight="1">
      <c r="A389" s="39"/>
      <c r="B389" s="39"/>
      <c r="C389" s="39"/>
      <c r="D389" s="39"/>
      <c r="E389" s="43"/>
      <c r="F389" s="43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</row>
    <row r="390" ht="15.75" customHeight="1">
      <c r="A390" s="39"/>
      <c r="B390" s="39"/>
      <c r="C390" s="39"/>
      <c r="D390" s="39"/>
      <c r="E390" s="43"/>
      <c r="F390" s="43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</row>
    <row r="391" ht="15.75" customHeight="1">
      <c r="A391" s="39"/>
      <c r="B391" s="39"/>
      <c r="C391" s="39"/>
      <c r="D391" s="39"/>
      <c r="E391" s="43"/>
      <c r="F391" s="43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</row>
    <row r="392" ht="15.75" customHeight="1">
      <c r="A392" s="39"/>
      <c r="B392" s="39"/>
      <c r="C392" s="39"/>
      <c r="D392" s="39"/>
      <c r="E392" s="43"/>
      <c r="F392" s="43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</row>
    <row r="393" ht="15.75" customHeight="1">
      <c r="A393" s="39"/>
      <c r="B393" s="39"/>
      <c r="C393" s="39"/>
      <c r="D393" s="39"/>
      <c r="E393" s="43"/>
      <c r="F393" s="43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</row>
    <row r="394" ht="15.75" customHeight="1">
      <c r="A394" s="39"/>
      <c r="B394" s="39"/>
      <c r="C394" s="39"/>
      <c r="D394" s="39"/>
      <c r="E394" s="43"/>
      <c r="F394" s="43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</row>
    <row r="395" ht="15.75" customHeight="1">
      <c r="A395" s="39"/>
      <c r="B395" s="39"/>
      <c r="C395" s="39"/>
      <c r="D395" s="39"/>
      <c r="E395" s="43"/>
      <c r="F395" s="43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</row>
    <row r="396" ht="15.75" customHeight="1">
      <c r="A396" s="39"/>
      <c r="B396" s="39"/>
      <c r="C396" s="39"/>
      <c r="D396" s="39"/>
      <c r="E396" s="43"/>
      <c r="F396" s="43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</row>
    <row r="397" ht="15.75" customHeight="1">
      <c r="A397" s="39"/>
      <c r="B397" s="39"/>
      <c r="C397" s="39"/>
      <c r="D397" s="39"/>
      <c r="E397" s="43"/>
      <c r="F397" s="43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</row>
    <row r="398" ht="15.75" customHeight="1">
      <c r="A398" s="39"/>
      <c r="B398" s="39"/>
      <c r="C398" s="39"/>
      <c r="D398" s="39"/>
      <c r="E398" s="43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</row>
    <row r="399" ht="15.75" customHeight="1">
      <c r="A399" s="39"/>
      <c r="B399" s="39"/>
      <c r="C399" s="39"/>
      <c r="D399" s="39"/>
      <c r="E399" s="43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</row>
    <row r="400" ht="15.75" customHeight="1">
      <c r="A400" s="39"/>
      <c r="B400" s="39"/>
      <c r="C400" s="39"/>
      <c r="D400" s="39"/>
      <c r="E400" s="43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</row>
    <row r="401" ht="15.75" customHeight="1">
      <c r="A401" s="39"/>
      <c r="B401" s="39"/>
      <c r="C401" s="39"/>
      <c r="D401" s="39"/>
      <c r="E401" s="43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</row>
    <row r="402" ht="15.75" customHeight="1">
      <c r="A402" s="39"/>
      <c r="B402" s="39"/>
      <c r="C402" s="39"/>
      <c r="D402" s="39"/>
      <c r="E402" s="43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</row>
    <row r="403" ht="15.75" customHeight="1">
      <c r="A403" s="39"/>
      <c r="B403" s="39"/>
      <c r="C403" s="39"/>
      <c r="D403" s="39"/>
      <c r="E403" s="43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</row>
    <row r="404" ht="15.75" customHeight="1">
      <c r="A404" s="39"/>
      <c r="B404" s="39"/>
      <c r="C404" s="39"/>
      <c r="D404" s="39"/>
      <c r="E404" s="43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</row>
    <row r="405" ht="15.75" customHeight="1">
      <c r="A405" s="39"/>
      <c r="B405" s="39"/>
      <c r="C405" s="39"/>
      <c r="D405" s="39"/>
      <c r="E405" s="43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</row>
    <row r="406" ht="15.75" customHeight="1">
      <c r="A406" s="39"/>
      <c r="B406" s="39"/>
      <c r="C406" s="39"/>
      <c r="D406" s="39"/>
      <c r="E406" s="43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</row>
    <row r="407" ht="15.75" customHeight="1">
      <c r="A407" s="39"/>
      <c r="B407" s="39"/>
      <c r="C407" s="39"/>
      <c r="D407" s="39"/>
      <c r="E407" s="43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</row>
    <row r="408" ht="15.75" customHeight="1">
      <c r="A408" s="39"/>
      <c r="B408" s="39"/>
      <c r="C408" s="39"/>
      <c r="D408" s="39"/>
      <c r="E408" s="43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</row>
    <row r="409" ht="15.75" customHeight="1">
      <c r="A409" s="39"/>
      <c r="B409" s="39"/>
      <c r="C409" s="39"/>
      <c r="D409" s="39"/>
      <c r="E409" s="43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</row>
    <row r="410" ht="15.75" customHeight="1">
      <c r="A410" s="39"/>
      <c r="B410" s="39"/>
      <c r="C410" s="39"/>
      <c r="D410" s="39"/>
      <c r="E410" s="43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</row>
    <row r="411" ht="15.75" customHeight="1">
      <c r="A411" s="39"/>
      <c r="B411" s="39"/>
      <c r="C411" s="39"/>
      <c r="D411" s="39"/>
      <c r="E411" s="43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</row>
    <row r="412" ht="15.75" customHeight="1">
      <c r="A412" s="39"/>
      <c r="B412" s="39"/>
      <c r="C412" s="39"/>
      <c r="D412" s="39"/>
      <c r="E412" s="43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</row>
    <row r="413" ht="15.75" customHeight="1">
      <c r="A413" s="39"/>
      <c r="B413" s="39"/>
      <c r="C413" s="39"/>
      <c r="D413" s="39"/>
      <c r="E413" s="43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</row>
    <row r="414" ht="15.75" customHeight="1">
      <c r="A414" s="39"/>
      <c r="B414" s="39"/>
      <c r="C414" s="39"/>
      <c r="D414" s="39"/>
      <c r="E414" s="43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</row>
    <row r="415" ht="15.75" customHeight="1">
      <c r="A415" s="39"/>
      <c r="B415" s="39"/>
      <c r="C415" s="39"/>
      <c r="D415" s="39"/>
      <c r="E415" s="43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</row>
    <row r="416" ht="15.75" customHeight="1">
      <c r="A416" s="39"/>
      <c r="B416" s="39"/>
      <c r="C416" s="39"/>
      <c r="D416" s="39"/>
      <c r="E416" s="43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</row>
    <row r="417" ht="15.75" customHeight="1">
      <c r="A417" s="39"/>
      <c r="B417" s="39"/>
      <c r="C417" s="39"/>
      <c r="D417" s="39"/>
      <c r="E417" s="43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</row>
    <row r="418" ht="15.75" customHeight="1">
      <c r="A418" s="39"/>
      <c r="B418" s="39"/>
      <c r="C418" s="39"/>
      <c r="D418" s="39"/>
      <c r="E418" s="43"/>
      <c r="F418" s="43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</row>
    <row r="419" ht="15.75" customHeight="1">
      <c r="A419" s="39"/>
      <c r="B419" s="39"/>
      <c r="C419" s="39"/>
      <c r="D419" s="39"/>
      <c r="E419" s="43"/>
      <c r="F419" s="43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</row>
    <row r="420" ht="15.75" customHeight="1">
      <c r="A420" s="39"/>
      <c r="B420" s="39"/>
      <c r="C420" s="39"/>
      <c r="D420" s="39"/>
      <c r="E420" s="43"/>
      <c r="F420" s="43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</row>
    <row r="421" ht="15.75" customHeight="1">
      <c r="A421" s="39"/>
      <c r="B421" s="39"/>
      <c r="C421" s="39"/>
      <c r="D421" s="39"/>
      <c r="E421" s="43"/>
      <c r="F421" s="43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</row>
    <row r="422" ht="15.75" customHeight="1">
      <c r="A422" s="39"/>
      <c r="B422" s="39"/>
      <c r="C422" s="39"/>
      <c r="D422" s="39"/>
      <c r="E422" s="43"/>
      <c r="F422" s="43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</row>
    <row r="423" ht="15.75" customHeight="1">
      <c r="A423" s="39"/>
      <c r="B423" s="39"/>
      <c r="C423" s="39"/>
      <c r="D423" s="39"/>
      <c r="E423" s="43"/>
      <c r="F423" s="43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</row>
    <row r="424" ht="15.75" customHeight="1">
      <c r="A424" s="39"/>
      <c r="B424" s="39"/>
      <c r="C424" s="39"/>
      <c r="D424" s="39"/>
      <c r="E424" s="43"/>
      <c r="F424" s="43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</row>
    <row r="425" ht="15.75" customHeight="1">
      <c r="A425" s="39"/>
      <c r="B425" s="39"/>
      <c r="C425" s="39"/>
      <c r="D425" s="39"/>
      <c r="E425" s="43"/>
      <c r="F425" s="43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</row>
    <row r="426" ht="15.75" customHeight="1">
      <c r="A426" s="39"/>
      <c r="B426" s="39"/>
      <c r="C426" s="39"/>
      <c r="D426" s="39"/>
      <c r="E426" s="43"/>
      <c r="F426" s="43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</row>
    <row r="427" ht="15.75" customHeight="1">
      <c r="A427" s="39"/>
      <c r="B427" s="39"/>
      <c r="C427" s="39"/>
      <c r="D427" s="39"/>
      <c r="E427" s="43"/>
      <c r="F427" s="43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</row>
    <row r="428" ht="15.75" customHeight="1">
      <c r="A428" s="39"/>
      <c r="B428" s="39"/>
      <c r="C428" s="39"/>
      <c r="D428" s="39"/>
      <c r="E428" s="43"/>
      <c r="F428" s="43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</row>
    <row r="429" ht="15.75" customHeight="1">
      <c r="A429" s="39"/>
      <c r="B429" s="39"/>
      <c r="C429" s="39"/>
      <c r="D429" s="39"/>
      <c r="E429" s="43"/>
      <c r="F429" s="43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</row>
    <row r="430" ht="15.75" customHeight="1">
      <c r="A430" s="39"/>
      <c r="B430" s="39"/>
      <c r="C430" s="39"/>
      <c r="D430" s="39"/>
      <c r="E430" s="43"/>
      <c r="F430" s="43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</row>
    <row r="431" ht="15.75" customHeight="1">
      <c r="A431" s="39"/>
      <c r="B431" s="39"/>
      <c r="C431" s="39"/>
      <c r="D431" s="39"/>
      <c r="E431" s="43"/>
      <c r="F431" s="43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</row>
    <row r="432" ht="15.75" customHeight="1">
      <c r="A432" s="39"/>
      <c r="B432" s="39"/>
      <c r="C432" s="39"/>
      <c r="D432" s="39"/>
      <c r="E432" s="43"/>
      <c r="F432" s="43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</row>
    <row r="433" ht="15.75" customHeight="1">
      <c r="A433" s="39"/>
      <c r="B433" s="39"/>
      <c r="C433" s="39"/>
      <c r="D433" s="39"/>
      <c r="E433" s="43"/>
      <c r="F433" s="43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</row>
    <row r="434" ht="15.75" customHeight="1">
      <c r="A434" s="39"/>
      <c r="B434" s="39"/>
      <c r="C434" s="39"/>
      <c r="D434" s="39"/>
      <c r="E434" s="43"/>
      <c r="F434" s="43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</row>
    <row r="435" ht="15.75" customHeight="1">
      <c r="A435" s="39"/>
      <c r="B435" s="39"/>
      <c r="C435" s="39"/>
      <c r="D435" s="39"/>
      <c r="E435" s="43"/>
      <c r="F435" s="43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</row>
    <row r="436" ht="15.75" customHeight="1">
      <c r="A436" s="39"/>
      <c r="B436" s="39"/>
      <c r="C436" s="39"/>
      <c r="D436" s="39"/>
      <c r="E436" s="43"/>
      <c r="F436" s="43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</row>
    <row r="437" ht="15.75" customHeight="1">
      <c r="A437" s="39"/>
      <c r="B437" s="39"/>
      <c r="C437" s="39"/>
      <c r="D437" s="39"/>
      <c r="E437" s="43"/>
      <c r="F437" s="43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</row>
    <row r="438" ht="15.75" customHeight="1">
      <c r="A438" s="39"/>
      <c r="B438" s="39"/>
      <c r="C438" s="39"/>
      <c r="D438" s="39"/>
      <c r="E438" s="43"/>
      <c r="F438" s="43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</row>
    <row r="439" ht="15.75" customHeight="1">
      <c r="A439" s="39"/>
      <c r="B439" s="39"/>
      <c r="C439" s="39"/>
      <c r="D439" s="39"/>
      <c r="E439" s="43"/>
      <c r="F439" s="43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</row>
    <row r="440" ht="15.75" customHeight="1">
      <c r="A440" s="39"/>
      <c r="B440" s="39"/>
      <c r="C440" s="39"/>
      <c r="D440" s="39"/>
      <c r="E440" s="43"/>
      <c r="F440" s="43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</row>
    <row r="441" ht="15.75" customHeight="1">
      <c r="A441" s="39"/>
      <c r="B441" s="39"/>
      <c r="C441" s="39"/>
      <c r="D441" s="39"/>
      <c r="E441" s="43"/>
      <c r="F441" s="43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</row>
    <row r="442" ht="15.75" customHeight="1">
      <c r="A442" s="39"/>
      <c r="B442" s="39"/>
      <c r="C442" s="39"/>
      <c r="D442" s="39"/>
      <c r="E442" s="43"/>
      <c r="F442" s="43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</row>
    <row r="443" ht="15.75" customHeight="1">
      <c r="A443" s="39"/>
      <c r="B443" s="39"/>
      <c r="C443" s="39"/>
      <c r="D443" s="39"/>
      <c r="E443" s="43"/>
      <c r="F443" s="43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</row>
    <row r="444" ht="15.75" customHeight="1">
      <c r="A444" s="39"/>
      <c r="B444" s="39"/>
      <c r="C444" s="39"/>
      <c r="D444" s="39"/>
      <c r="E444" s="43"/>
      <c r="F444" s="43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</row>
    <row r="445" ht="15.75" customHeight="1">
      <c r="A445" s="39"/>
      <c r="B445" s="39"/>
      <c r="C445" s="39"/>
      <c r="D445" s="39"/>
      <c r="E445" s="43"/>
      <c r="F445" s="43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</row>
    <row r="446" ht="15.75" customHeight="1">
      <c r="A446" s="39"/>
      <c r="B446" s="39"/>
      <c r="C446" s="39"/>
      <c r="D446" s="39"/>
      <c r="E446" s="43"/>
      <c r="F446" s="43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</row>
    <row r="447" ht="15.75" customHeight="1">
      <c r="A447" s="39"/>
      <c r="B447" s="39"/>
      <c r="C447" s="39"/>
      <c r="D447" s="39"/>
      <c r="E447" s="43"/>
      <c r="F447" s="43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</row>
    <row r="448" ht="15.75" customHeight="1">
      <c r="A448" s="39"/>
      <c r="B448" s="39"/>
      <c r="C448" s="39"/>
      <c r="D448" s="39"/>
      <c r="E448" s="43"/>
      <c r="F448" s="43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</row>
    <row r="449" ht="15.75" customHeight="1">
      <c r="A449" s="39"/>
      <c r="B449" s="39"/>
      <c r="C449" s="39"/>
      <c r="D449" s="39"/>
      <c r="E449" s="43"/>
      <c r="F449" s="43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</row>
    <row r="450" ht="15.75" customHeight="1">
      <c r="A450" s="39"/>
      <c r="B450" s="39"/>
      <c r="C450" s="39"/>
      <c r="D450" s="39"/>
      <c r="E450" s="43"/>
      <c r="F450" s="43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</row>
    <row r="451" ht="15.75" customHeight="1">
      <c r="A451" s="39"/>
      <c r="B451" s="39"/>
      <c r="C451" s="39"/>
      <c r="D451" s="39"/>
      <c r="E451" s="43"/>
      <c r="F451" s="43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</row>
    <row r="452" ht="15.75" customHeight="1">
      <c r="A452" s="39"/>
      <c r="B452" s="39"/>
      <c r="C452" s="39"/>
      <c r="D452" s="39"/>
      <c r="E452" s="43"/>
      <c r="F452" s="43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</row>
    <row r="453" ht="15.75" customHeight="1">
      <c r="A453" s="39"/>
      <c r="B453" s="39"/>
      <c r="C453" s="39"/>
      <c r="D453" s="39"/>
      <c r="E453" s="43"/>
      <c r="F453" s="43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</row>
    <row r="454" ht="15.75" customHeight="1">
      <c r="A454" s="39"/>
      <c r="B454" s="39"/>
      <c r="C454" s="39"/>
      <c r="D454" s="39"/>
      <c r="E454" s="43"/>
      <c r="F454" s="43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</row>
    <row r="455" ht="15.75" customHeight="1">
      <c r="A455" s="39"/>
      <c r="B455" s="39"/>
      <c r="C455" s="39"/>
      <c r="D455" s="39"/>
      <c r="E455" s="43"/>
      <c r="F455" s="43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</row>
    <row r="456" ht="15.75" customHeight="1">
      <c r="A456" s="39"/>
      <c r="B456" s="39"/>
      <c r="C456" s="39"/>
      <c r="D456" s="39"/>
      <c r="E456" s="43"/>
      <c r="F456" s="43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</row>
    <row r="457" ht="15.75" customHeight="1">
      <c r="A457" s="39"/>
      <c r="B457" s="39"/>
      <c r="C457" s="39"/>
      <c r="D457" s="39"/>
      <c r="E457" s="43"/>
      <c r="F457" s="43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</row>
    <row r="458" ht="15.75" customHeight="1">
      <c r="A458" s="39"/>
      <c r="B458" s="39"/>
      <c r="C458" s="39"/>
      <c r="D458" s="39"/>
      <c r="E458" s="43"/>
      <c r="F458" s="43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</row>
    <row r="459" ht="15.75" customHeight="1">
      <c r="A459" s="39"/>
      <c r="B459" s="39"/>
      <c r="C459" s="39"/>
      <c r="D459" s="39"/>
      <c r="E459" s="43"/>
      <c r="F459" s="43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</row>
    <row r="460" ht="15.75" customHeight="1">
      <c r="A460" s="39"/>
      <c r="B460" s="39"/>
      <c r="C460" s="39"/>
      <c r="D460" s="39"/>
      <c r="E460" s="43"/>
      <c r="F460" s="43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</row>
    <row r="461" ht="15.75" customHeight="1">
      <c r="A461" s="39"/>
      <c r="B461" s="39"/>
      <c r="C461" s="39"/>
      <c r="D461" s="39"/>
      <c r="E461" s="43"/>
      <c r="F461" s="43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</row>
    <row r="462" ht="15.75" customHeight="1">
      <c r="A462" s="39"/>
      <c r="B462" s="39"/>
      <c r="C462" s="39"/>
      <c r="D462" s="39"/>
      <c r="E462" s="43"/>
      <c r="F462" s="43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</row>
    <row r="463" ht="15.75" customHeight="1">
      <c r="A463" s="39"/>
      <c r="B463" s="39"/>
      <c r="C463" s="39"/>
      <c r="D463" s="39"/>
      <c r="E463" s="43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</row>
    <row r="464" ht="15.75" customHeight="1">
      <c r="A464" s="39"/>
      <c r="B464" s="39"/>
      <c r="C464" s="39"/>
      <c r="D464" s="39"/>
      <c r="E464" s="43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</row>
    <row r="465" ht="15.75" customHeight="1">
      <c r="A465" s="39"/>
      <c r="B465" s="39"/>
      <c r="C465" s="39"/>
      <c r="D465" s="39"/>
      <c r="E465" s="43"/>
      <c r="F465" s="43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</row>
    <row r="466" ht="15.75" customHeight="1">
      <c r="A466" s="39"/>
      <c r="B466" s="39"/>
      <c r="C466" s="39"/>
      <c r="D466" s="39"/>
      <c r="E466" s="43"/>
      <c r="F466" s="43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</row>
    <row r="467" ht="15.75" customHeight="1">
      <c r="A467" s="39"/>
      <c r="B467" s="39"/>
      <c r="C467" s="39"/>
      <c r="D467" s="39"/>
      <c r="E467" s="43"/>
      <c r="F467" s="43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</row>
    <row r="468" ht="15.75" customHeight="1">
      <c r="A468" s="39"/>
      <c r="B468" s="39"/>
      <c r="C468" s="39"/>
      <c r="D468" s="39"/>
      <c r="E468" s="43"/>
      <c r="F468" s="43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</row>
    <row r="469" ht="15.75" customHeight="1">
      <c r="A469" s="39"/>
      <c r="B469" s="39"/>
      <c r="C469" s="39"/>
      <c r="D469" s="39"/>
      <c r="E469" s="43"/>
      <c r="F469" s="43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</row>
    <row r="470" ht="15.75" customHeight="1">
      <c r="A470" s="39"/>
      <c r="B470" s="39"/>
      <c r="C470" s="39"/>
      <c r="D470" s="39"/>
      <c r="E470" s="43"/>
      <c r="F470" s="43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</row>
    <row r="471" ht="15.75" customHeight="1">
      <c r="A471" s="39"/>
      <c r="B471" s="39"/>
      <c r="C471" s="39"/>
      <c r="D471" s="39"/>
      <c r="E471" s="43"/>
      <c r="F471" s="43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</row>
    <row r="472" ht="15.75" customHeight="1">
      <c r="A472" s="39"/>
      <c r="B472" s="39"/>
      <c r="C472" s="39"/>
      <c r="D472" s="39"/>
      <c r="E472" s="43"/>
      <c r="F472" s="43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</row>
    <row r="473" ht="15.75" customHeight="1">
      <c r="A473" s="39"/>
      <c r="B473" s="39"/>
      <c r="C473" s="39"/>
      <c r="D473" s="39"/>
      <c r="E473" s="43"/>
      <c r="F473" s="43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</row>
    <row r="474" ht="15.75" customHeight="1">
      <c r="A474" s="39"/>
      <c r="B474" s="39"/>
      <c r="C474" s="39"/>
      <c r="D474" s="39"/>
      <c r="E474" s="43"/>
      <c r="F474" s="43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</row>
    <row r="475" ht="15.75" customHeight="1">
      <c r="A475" s="39"/>
      <c r="B475" s="39"/>
      <c r="C475" s="39"/>
      <c r="D475" s="39"/>
      <c r="E475" s="43"/>
      <c r="F475" s="43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</row>
    <row r="476" ht="15.75" customHeight="1">
      <c r="A476" s="39"/>
      <c r="B476" s="39"/>
      <c r="C476" s="39"/>
      <c r="D476" s="39"/>
      <c r="E476" s="43"/>
      <c r="F476" s="43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</row>
    <row r="477" ht="15.75" customHeight="1">
      <c r="A477" s="39"/>
      <c r="B477" s="39"/>
      <c r="C477" s="39"/>
      <c r="D477" s="39"/>
      <c r="E477" s="43"/>
      <c r="F477" s="43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</row>
    <row r="478" ht="15.75" customHeight="1">
      <c r="A478" s="39"/>
      <c r="B478" s="39"/>
      <c r="C478" s="39"/>
      <c r="D478" s="39"/>
      <c r="E478" s="43"/>
      <c r="F478" s="43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</row>
    <row r="479" ht="15.75" customHeight="1">
      <c r="A479" s="39"/>
      <c r="B479" s="39"/>
      <c r="C479" s="39"/>
      <c r="D479" s="39"/>
      <c r="E479" s="43"/>
      <c r="F479" s="43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</row>
    <row r="480" ht="15.75" customHeight="1">
      <c r="A480" s="39"/>
      <c r="B480" s="39"/>
      <c r="C480" s="39"/>
      <c r="D480" s="39"/>
      <c r="E480" s="43"/>
      <c r="F480" s="43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</row>
    <row r="481" ht="15.75" customHeight="1">
      <c r="A481" s="39"/>
      <c r="B481" s="39"/>
      <c r="C481" s="39"/>
      <c r="D481" s="39"/>
      <c r="E481" s="43"/>
      <c r="F481" s="43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</row>
    <row r="482" ht="15.75" customHeight="1">
      <c r="A482" s="39"/>
      <c r="B482" s="39"/>
      <c r="C482" s="39"/>
      <c r="D482" s="39"/>
      <c r="E482" s="43"/>
      <c r="F482" s="43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</row>
    <row r="483" ht="15.75" customHeight="1">
      <c r="A483" s="39"/>
      <c r="B483" s="39"/>
      <c r="C483" s="39"/>
      <c r="D483" s="39"/>
      <c r="E483" s="43"/>
      <c r="F483" s="43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</row>
    <row r="484" ht="15.75" customHeight="1">
      <c r="A484" s="39"/>
      <c r="B484" s="39"/>
      <c r="C484" s="39"/>
      <c r="D484" s="39"/>
      <c r="E484" s="43"/>
      <c r="F484" s="43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</row>
    <row r="485" ht="15.75" customHeight="1">
      <c r="A485" s="39"/>
      <c r="B485" s="39"/>
      <c r="C485" s="39"/>
      <c r="D485" s="39"/>
      <c r="E485" s="43"/>
      <c r="F485" s="43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</row>
    <row r="486" ht="15.75" customHeight="1">
      <c r="A486" s="39"/>
      <c r="B486" s="39"/>
      <c r="C486" s="39"/>
      <c r="D486" s="39"/>
      <c r="E486" s="43"/>
      <c r="F486" s="43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</row>
    <row r="487" ht="15.75" customHeight="1">
      <c r="A487" s="39"/>
      <c r="B487" s="39"/>
      <c r="C487" s="39"/>
      <c r="D487" s="39"/>
      <c r="E487" s="43"/>
      <c r="F487" s="43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</row>
    <row r="488" ht="15.75" customHeight="1">
      <c r="A488" s="39"/>
      <c r="B488" s="39"/>
      <c r="C488" s="39"/>
      <c r="D488" s="39"/>
      <c r="E488" s="43"/>
      <c r="F488" s="43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</row>
    <row r="489" ht="15.75" customHeight="1">
      <c r="A489" s="39"/>
      <c r="B489" s="39"/>
      <c r="C489" s="39"/>
      <c r="D489" s="39"/>
      <c r="E489" s="43"/>
      <c r="F489" s="43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</row>
    <row r="490" ht="15.75" customHeight="1">
      <c r="A490" s="39"/>
      <c r="B490" s="39"/>
      <c r="C490" s="39"/>
      <c r="D490" s="39"/>
      <c r="E490" s="43"/>
      <c r="F490" s="43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</row>
    <row r="491" ht="15.75" customHeight="1">
      <c r="A491" s="39"/>
      <c r="B491" s="39"/>
      <c r="C491" s="39"/>
      <c r="D491" s="39"/>
      <c r="E491" s="43"/>
      <c r="F491" s="43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</row>
    <row r="492" ht="15.75" customHeight="1">
      <c r="A492" s="39"/>
      <c r="B492" s="39"/>
      <c r="C492" s="39"/>
      <c r="D492" s="39"/>
      <c r="E492" s="43"/>
      <c r="F492" s="43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</row>
    <row r="493" ht="15.75" customHeight="1">
      <c r="A493" s="39"/>
      <c r="B493" s="39"/>
      <c r="C493" s="39"/>
      <c r="D493" s="39"/>
      <c r="E493" s="43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</row>
    <row r="494" ht="15.75" customHeight="1">
      <c r="A494" s="39"/>
      <c r="B494" s="39"/>
      <c r="C494" s="39"/>
      <c r="D494" s="39"/>
      <c r="E494" s="43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</row>
    <row r="495" ht="15.75" customHeight="1">
      <c r="A495" s="39"/>
      <c r="B495" s="39"/>
      <c r="C495" s="39"/>
      <c r="D495" s="39"/>
      <c r="E495" s="43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</row>
    <row r="496" ht="15.75" customHeight="1">
      <c r="A496" s="39"/>
      <c r="B496" s="39"/>
      <c r="C496" s="39"/>
      <c r="D496" s="39"/>
      <c r="E496" s="43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</row>
    <row r="497" ht="15.75" customHeight="1">
      <c r="A497" s="39"/>
      <c r="B497" s="39"/>
      <c r="C497" s="39"/>
      <c r="D497" s="39"/>
      <c r="E497" s="43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</row>
    <row r="498" ht="15.75" customHeight="1">
      <c r="A498" s="39"/>
      <c r="B498" s="39"/>
      <c r="C498" s="39"/>
      <c r="D498" s="39"/>
      <c r="E498" s="43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</row>
    <row r="499" ht="15.75" customHeight="1">
      <c r="A499" s="39"/>
      <c r="B499" s="39"/>
      <c r="C499" s="39"/>
      <c r="D499" s="39"/>
      <c r="E499" s="43"/>
      <c r="F499" s="43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</row>
    <row r="500" ht="15.75" customHeight="1">
      <c r="A500" s="39"/>
      <c r="B500" s="39"/>
      <c r="C500" s="39"/>
      <c r="D500" s="39"/>
      <c r="E500" s="43"/>
      <c r="F500" s="43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</row>
    <row r="501" ht="15.75" customHeight="1">
      <c r="A501" s="39"/>
      <c r="B501" s="39"/>
      <c r="C501" s="39"/>
      <c r="D501" s="39"/>
      <c r="E501" s="43"/>
      <c r="F501" s="43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</row>
    <row r="502" ht="15.75" customHeight="1">
      <c r="A502" s="39"/>
      <c r="B502" s="39"/>
      <c r="C502" s="39"/>
      <c r="D502" s="39"/>
      <c r="E502" s="43"/>
      <c r="F502" s="43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</row>
    <row r="503" ht="15.75" customHeight="1">
      <c r="A503" s="39"/>
      <c r="B503" s="39"/>
      <c r="C503" s="39"/>
      <c r="D503" s="39"/>
      <c r="E503" s="43"/>
      <c r="F503" s="43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</row>
    <row r="504" ht="15.75" customHeight="1">
      <c r="A504" s="39"/>
      <c r="B504" s="39"/>
      <c r="C504" s="39"/>
      <c r="D504" s="39"/>
      <c r="E504" s="43"/>
      <c r="F504" s="43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</row>
    <row r="505" ht="15.75" customHeight="1">
      <c r="A505" s="39"/>
      <c r="B505" s="39"/>
      <c r="C505" s="39"/>
      <c r="D505" s="39"/>
      <c r="E505" s="43"/>
      <c r="F505" s="45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</row>
    <row r="506" ht="15.75" customHeight="1">
      <c r="A506" s="39"/>
      <c r="B506" s="39"/>
      <c r="C506" s="39"/>
      <c r="D506" s="39"/>
      <c r="E506" s="43"/>
      <c r="F506" s="43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</row>
    <row r="507" ht="15.75" customHeight="1">
      <c r="A507" s="39"/>
      <c r="B507" s="39"/>
      <c r="C507" s="39"/>
      <c r="D507" s="39"/>
      <c r="E507" s="43"/>
      <c r="F507" s="43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</row>
    <row r="508" ht="15.75" customHeight="1">
      <c r="A508" s="39"/>
      <c r="B508" s="39"/>
      <c r="C508" s="39"/>
      <c r="D508" s="39"/>
      <c r="E508" s="43"/>
      <c r="F508" s="43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</row>
    <row r="509" ht="15.75" customHeight="1">
      <c r="A509" s="39"/>
      <c r="B509" s="39"/>
      <c r="C509" s="39"/>
      <c r="D509" s="39"/>
      <c r="E509" s="43"/>
      <c r="F509" s="43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</row>
    <row r="510" ht="15.75" customHeight="1">
      <c r="A510" s="39"/>
      <c r="B510" s="39"/>
      <c r="C510" s="39"/>
      <c r="D510" s="39"/>
      <c r="E510" s="43"/>
      <c r="F510" s="43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</row>
    <row r="511" ht="15.75" customHeight="1">
      <c r="A511" s="39"/>
      <c r="B511" s="39"/>
      <c r="C511" s="39"/>
      <c r="D511" s="39"/>
      <c r="E511" s="43"/>
      <c r="F511" s="43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</row>
    <row r="512" ht="15.75" customHeight="1">
      <c r="A512" s="39"/>
      <c r="B512" s="39"/>
      <c r="C512" s="39"/>
      <c r="D512" s="39"/>
      <c r="E512" s="43"/>
      <c r="F512" s="43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</row>
    <row r="513" ht="15.75" customHeight="1">
      <c r="A513" s="39"/>
      <c r="B513" s="39"/>
      <c r="C513" s="39"/>
      <c r="D513" s="39"/>
      <c r="E513" s="43"/>
      <c r="F513" s="43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</row>
    <row r="514" ht="15.75" customHeight="1">
      <c r="A514" s="39"/>
      <c r="B514" s="39"/>
      <c r="C514" s="39"/>
      <c r="D514" s="39"/>
      <c r="E514" s="43"/>
      <c r="F514" s="43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</row>
    <row r="515" ht="15.75" customHeight="1">
      <c r="A515" s="39"/>
      <c r="B515" s="39"/>
      <c r="C515" s="39"/>
      <c r="D515" s="39"/>
      <c r="E515" s="43"/>
      <c r="F515" s="43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</row>
    <row r="516" ht="15.75" customHeight="1">
      <c r="A516" s="39"/>
      <c r="B516" s="39"/>
      <c r="C516" s="39"/>
      <c r="D516" s="39"/>
      <c r="E516" s="43"/>
      <c r="F516" s="43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</row>
    <row r="517" ht="15.75" customHeight="1">
      <c r="A517" s="39"/>
      <c r="B517" s="39"/>
      <c r="C517" s="39"/>
      <c r="D517" s="39"/>
      <c r="E517" s="43"/>
      <c r="F517" s="43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</row>
    <row r="518" ht="15.75" customHeight="1">
      <c r="A518" s="39"/>
      <c r="B518" s="39"/>
      <c r="C518" s="39"/>
      <c r="D518" s="39"/>
      <c r="E518" s="43"/>
      <c r="F518" s="43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</row>
    <row r="519" ht="15.75" customHeight="1">
      <c r="A519" s="39"/>
      <c r="B519" s="39"/>
      <c r="C519" s="39"/>
      <c r="D519" s="39"/>
      <c r="E519" s="43"/>
      <c r="F519" s="43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</row>
    <row r="520" ht="15.75" customHeight="1">
      <c r="A520" s="39"/>
      <c r="B520" s="39"/>
      <c r="C520" s="39"/>
      <c r="D520" s="39"/>
      <c r="E520" s="43"/>
      <c r="F520" s="43"/>
      <c r="G520" s="39"/>
      <c r="H520" s="39"/>
      <c r="I520" s="39"/>
      <c r="K520" s="39"/>
      <c r="L520" s="39"/>
      <c r="M520" s="39"/>
      <c r="N520" s="39"/>
      <c r="O520" s="39"/>
    </row>
    <row r="521" ht="15.75" customHeight="1">
      <c r="A521" s="39"/>
      <c r="B521" s="39"/>
      <c r="C521" s="39"/>
      <c r="D521" s="39"/>
      <c r="E521" s="43"/>
      <c r="F521" s="43"/>
      <c r="G521" s="39"/>
      <c r="H521" s="39"/>
      <c r="I521" s="39"/>
      <c r="K521" s="39"/>
      <c r="L521" s="39"/>
      <c r="M521" s="39"/>
      <c r="N521" s="39"/>
      <c r="O521" s="39"/>
    </row>
    <row r="522" ht="15.75" customHeight="1">
      <c r="A522" s="39"/>
      <c r="B522" s="39"/>
      <c r="C522" s="39"/>
      <c r="D522" s="39"/>
      <c r="E522" s="43"/>
      <c r="F522" s="43"/>
      <c r="G522" s="39"/>
      <c r="H522" s="39"/>
      <c r="I522" s="39"/>
    </row>
    <row r="523" ht="15.75" customHeight="1">
      <c r="A523" s="39"/>
      <c r="B523" s="39"/>
      <c r="C523" s="39"/>
      <c r="D523" s="39"/>
      <c r="E523" s="43"/>
      <c r="F523" s="43"/>
      <c r="G523" s="39"/>
      <c r="H523" s="39"/>
      <c r="I523" s="39"/>
    </row>
    <row r="524" ht="15.75" customHeight="1">
      <c r="A524" s="39"/>
      <c r="B524" s="39"/>
      <c r="C524" s="39"/>
      <c r="D524" s="39"/>
      <c r="E524" s="43"/>
      <c r="F524" s="43"/>
      <c r="G524" s="39"/>
      <c r="H524" s="39"/>
      <c r="I524" s="39"/>
    </row>
    <row r="525" ht="15.75" customHeight="1">
      <c r="A525" s="39"/>
      <c r="B525" s="39"/>
      <c r="C525" s="39"/>
      <c r="D525" s="39"/>
      <c r="E525" s="43"/>
      <c r="F525" s="43"/>
      <c r="G525" s="39"/>
      <c r="H525" s="39"/>
      <c r="I525" s="39"/>
    </row>
    <row r="526" ht="15.75" customHeight="1">
      <c r="A526" s="39"/>
      <c r="B526" s="39"/>
      <c r="C526" s="39"/>
      <c r="D526" s="39"/>
      <c r="E526" s="43"/>
      <c r="F526" s="43"/>
      <c r="G526" s="39"/>
      <c r="H526" s="39"/>
      <c r="I526" s="39"/>
    </row>
    <row r="527" ht="15.75" customHeight="1">
      <c r="A527" s="39"/>
      <c r="B527" s="39"/>
      <c r="C527" s="39"/>
      <c r="D527" s="39"/>
      <c r="E527" s="43"/>
      <c r="F527" s="43"/>
      <c r="G527" s="39"/>
      <c r="H527" s="39"/>
      <c r="I527" s="39"/>
    </row>
    <row r="528" ht="15.75" customHeight="1">
      <c r="A528" s="39"/>
      <c r="B528" s="39"/>
      <c r="C528" s="39"/>
      <c r="D528" s="39"/>
      <c r="E528" s="43"/>
      <c r="F528" s="43"/>
      <c r="G528" s="39"/>
      <c r="H528" s="39"/>
      <c r="I528" s="39"/>
    </row>
    <row r="529" ht="15.75" customHeight="1">
      <c r="A529" s="39"/>
      <c r="B529" s="39"/>
      <c r="C529" s="39"/>
      <c r="D529" s="39"/>
      <c r="E529" s="43"/>
      <c r="F529" s="43"/>
      <c r="G529" s="39"/>
      <c r="H529" s="39"/>
      <c r="I529" s="39"/>
    </row>
    <row r="530" ht="15.75" customHeight="1">
      <c r="A530" s="39"/>
      <c r="B530" s="39"/>
      <c r="C530" s="39"/>
      <c r="D530" s="39"/>
      <c r="E530" s="43"/>
      <c r="F530" s="43"/>
      <c r="G530" s="39"/>
      <c r="H530" s="39"/>
      <c r="I530" s="39"/>
    </row>
    <row r="531" ht="15.75" customHeight="1">
      <c r="A531" s="39"/>
      <c r="B531" s="39"/>
      <c r="C531" s="39"/>
      <c r="D531" s="39"/>
      <c r="E531" s="43"/>
      <c r="F531" s="43"/>
      <c r="G531" s="39"/>
      <c r="H531" s="39"/>
      <c r="I531" s="39"/>
    </row>
    <row r="532" ht="15.75" customHeight="1">
      <c r="A532" s="39"/>
      <c r="B532" s="39"/>
      <c r="C532" s="39"/>
      <c r="D532" s="39"/>
      <c r="E532" s="43"/>
      <c r="F532" s="43"/>
      <c r="G532" s="39"/>
      <c r="H532" s="39"/>
      <c r="I532" s="39"/>
    </row>
    <row r="533" ht="15.75" customHeight="1">
      <c r="F533" s="43"/>
      <c r="G533" s="39"/>
      <c r="H533" s="39"/>
      <c r="I533" s="39"/>
    </row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5">
    <mergeCell ref="A1:D1"/>
    <mergeCell ref="K2:N2"/>
    <mergeCell ref="A15:D15"/>
    <mergeCell ref="K15:N15"/>
    <mergeCell ref="A30:D30"/>
    <mergeCell ref="K30:N30"/>
    <mergeCell ref="K47:N47"/>
    <mergeCell ref="A41:D41"/>
    <mergeCell ref="A54:D54"/>
    <mergeCell ref="A69:D69"/>
    <mergeCell ref="K69:N69"/>
    <mergeCell ref="A83:D83"/>
    <mergeCell ref="A98:D98"/>
    <mergeCell ref="A117:D117"/>
    <mergeCell ref="A233:D233"/>
    <mergeCell ref="K234:N234"/>
    <mergeCell ref="A248:D248"/>
    <mergeCell ref="A302:D302"/>
    <mergeCell ref="A133:D133"/>
    <mergeCell ref="A149:D149"/>
    <mergeCell ref="A167:D167"/>
    <mergeCell ref="A178:D178"/>
    <mergeCell ref="A191:D191"/>
    <mergeCell ref="A203:D203"/>
    <mergeCell ref="A217:D21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7.14"/>
    <col customWidth="1" min="3" max="3" width="6.29"/>
    <col customWidth="1" min="4" max="4" width="5.86"/>
    <col customWidth="1" min="5" max="5" width="3.43"/>
    <col customWidth="1" min="6" max="6" width="15.71"/>
    <col customWidth="1" min="7" max="7" width="6.71"/>
    <col customWidth="1" min="8" max="8" width="7.14"/>
    <col customWidth="1" min="9" max="9" width="6.71"/>
    <col customWidth="1" min="10" max="10" width="3.29"/>
    <col customWidth="1" min="11" max="11" width="16.29"/>
    <col customWidth="1" min="12" max="12" width="6.29"/>
    <col customWidth="1" min="13" max="13" width="6.14"/>
    <col customWidth="1" min="14" max="14" width="5.14"/>
  </cols>
  <sheetData>
    <row r="1">
      <c r="A1" s="37" t="s">
        <v>167</v>
      </c>
      <c r="E1" s="37"/>
      <c r="F1" s="37" t="s">
        <v>168</v>
      </c>
      <c r="K1" s="37" t="s">
        <v>169</v>
      </c>
    </row>
    <row r="2">
      <c r="A2" s="39" t="s">
        <v>17</v>
      </c>
      <c r="B2" s="40">
        <v>6000.0</v>
      </c>
      <c r="C2" s="41" t="s">
        <v>75</v>
      </c>
      <c r="D2" s="42">
        <v>1.0</v>
      </c>
      <c r="E2" s="42"/>
      <c r="F2" s="39" t="s">
        <v>17</v>
      </c>
      <c r="G2" s="40">
        <v>6000.0</v>
      </c>
      <c r="H2" s="41" t="s">
        <v>75</v>
      </c>
      <c r="I2" s="42">
        <v>1.0</v>
      </c>
      <c r="K2" s="39" t="s">
        <v>17</v>
      </c>
      <c r="L2" s="40">
        <v>7000.0</v>
      </c>
      <c r="M2" s="41" t="s">
        <v>75</v>
      </c>
      <c r="N2" s="42">
        <v>1.0</v>
      </c>
    </row>
    <row r="3">
      <c r="A3" s="39" t="s">
        <v>18</v>
      </c>
      <c r="B3" s="39">
        <f>B2*D3</f>
        <v>780</v>
      </c>
      <c r="C3" s="41" t="s">
        <v>75</v>
      </c>
      <c r="D3" s="46">
        <v>0.13</v>
      </c>
      <c r="E3" s="46"/>
      <c r="F3" s="39" t="s">
        <v>18</v>
      </c>
      <c r="G3" s="39">
        <f>G2*I3</f>
        <v>720</v>
      </c>
      <c r="H3" s="41" t="s">
        <v>75</v>
      </c>
      <c r="I3" s="42">
        <v>0.12</v>
      </c>
      <c r="K3" s="39" t="s">
        <v>18</v>
      </c>
      <c r="L3" s="39">
        <f>L2*N3</f>
        <v>770</v>
      </c>
      <c r="M3" s="41" t="s">
        <v>75</v>
      </c>
      <c r="N3" s="42">
        <v>0.11</v>
      </c>
    </row>
    <row r="4">
      <c r="A4" s="39" t="s">
        <v>19</v>
      </c>
      <c r="B4" s="39">
        <f>B2*D4</f>
        <v>360</v>
      </c>
      <c r="C4" s="41" t="s">
        <v>75</v>
      </c>
      <c r="D4" s="46">
        <v>0.06</v>
      </c>
      <c r="E4" s="46"/>
      <c r="F4" s="39" t="s">
        <v>19</v>
      </c>
      <c r="G4" s="39">
        <f>G2*I4</f>
        <v>480</v>
      </c>
      <c r="H4" s="41" t="s">
        <v>75</v>
      </c>
      <c r="I4" s="42">
        <v>0.08</v>
      </c>
      <c r="K4" s="39" t="s">
        <v>19</v>
      </c>
      <c r="L4" s="39">
        <f>L2*N4</f>
        <v>560</v>
      </c>
      <c r="M4" s="41" t="s">
        <v>75</v>
      </c>
      <c r="N4" s="42">
        <v>0.08</v>
      </c>
    </row>
    <row r="5">
      <c r="A5" s="39" t="s">
        <v>20</v>
      </c>
      <c r="B5" s="39">
        <f>B2*D5</f>
        <v>120</v>
      </c>
      <c r="C5" s="41" t="s">
        <v>75</v>
      </c>
      <c r="D5" s="42">
        <v>0.02</v>
      </c>
      <c r="E5" s="42"/>
      <c r="F5" s="39" t="s">
        <v>20</v>
      </c>
      <c r="G5" s="39">
        <f>G2*I5</f>
        <v>120</v>
      </c>
      <c r="H5" s="41" t="s">
        <v>75</v>
      </c>
      <c r="I5" s="42">
        <v>0.02</v>
      </c>
      <c r="K5" s="39" t="s">
        <v>20</v>
      </c>
      <c r="L5" s="39">
        <f>L2*N5</f>
        <v>140</v>
      </c>
      <c r="M5" s="41" t="s">
        <v>75</v>
      </c>
      <c r="N5" s="42">
        <v>0.02</v>
      </c>
    </row>
    <row r="6">
      <c r="A6" s="39" t="s">
        <v>77</v>
      </c>
      <c r="B6" s="39">
        <f>B2*D6</f>
        <v>1800</v>
      </c>
      <c r="C6" s="41" t="s">
        <v>75</v>
      </c>
      <c r="D6" s="42">
        <v>0.3</v>
      </c>
      <c r="E6" s="42"/>
      <c r="F6" s="39" t="s">
        <v>77</v>
      </c>
      <c r="G6" s="39">
        <f>G2*I6</f>
        <v>1680</v>
      </c>
      <c r="H6" s="41" t="s">
        <v>75</v>
      </c>
      <c r="I6" s="46">
        <v>0.28</v>
      </c>
      <c r="K6" s="39" t="s">
        <v>77</v>
      </c>
      <c r="L6" s="39">
        <f>L2*N6</f>
        <v>910</v>
      </c>
      <c r="M6" s="41" t="s">
        <v>75</v>
      </c>
      <c r="N6" s="42">
        <v>0.13</v>
      </c>
    </row>
    <row r="7">
      <c r="A7" s="39" t="s">
        <v>78</v>
      </c>
      <c r="B7" s="39">
        <f>B2*D7</f>
        <v>60</v>
      </c>
      <c r="C7" s="41" t="s">
        <v>75</v>
      </c>
      <c r="D7" s="42">
        <v>0.01</v>
      </c>
      <c r="E7" s="42"/>
      <c r="F7" s="39" t="s">
        <v>78</v>
      </c>
      <c r="G7" s="39">
        <f>G2*I7</f>
        <v>120</v>
      </c>
      <c r="H7" s="41" t="s">
        <v>75</v>
      </c>
      <c r="I7" s="42">
        <v>0.02</v>
      </c>
      <c r="K7" s="39" t="s">
        <v>110</v>
      </c>
      <c r="L7" s="39">
        <f>L2*N7</f>
        <v>70</v>
      </c>
      <c r="M7" s="41" t="s">
        <v>75</v>
      </c>
      <c r="N7" s="42">
        <v>0.01</v>
      </c>
    </row>
    <row r="8">
      <c r="A8" s="39" t="s">
        <v>23</v>
      </c>
      <c r="B8" s="39">
        <f>B2*D8</f>
        <v>180</v>
      </c>
      <c r="C8" s="41" t="s">
        <v>75</v>
      </c>
      <c r="D8" s="42">
        <v>0.03</v>
      </c>
      <c r="E8" s="42"/>
      <c r="F8" s="39" t="s">
        <v>23</v>
      </c>
      <c r="G8" s="39">
        <f>G2*I8</f>
        <v>180</v>
      </c>
      <c r="H8" s="41" t="s">
        <v>75</v>
      </c>
      <c r="I8" s="42">
        <v>0.03</v>
      </c>
      <c r="K8" s="39" t="s">
        <v>23</v>
      </c>
      <c r="L8" s="39">
        <f>L2*N8</f>
        <v>140</v>
      </c>
      <c r="M8" s="41" t="s">
        <v>75</v>
      </c>
      <c r="N8" s="42">
        <v>0.02</v>
      </c>
    </row>
    <row r="9">
      <c r="A9" s="39" t="s">
        <v>27</v>
      </c>
      <c r="B9" s="39">
        <f>B2*D9</f>
        <v>540</v>
      </c>
      <c r="C9" s="41" t="s">
        <v>75</v>
      </c>
      <c r="D9" s="42">
        <v>0.09</v>
      </c>
      <c r="E9" s="42"/>
      <c r="F9" s="39" t="s">
        <v>25</v>
      </c>
      <c r="G9" s="39">
        <f>G2*I9</f>
        <v>60</v>
      </c>
      <c r="H9" s="41" t="s">
        <v>75</v>
      </c>
      <c r="I9" s="42">
        <v>0.01</v>
      </c>
      <c r="K9" s="39" t="s">
        <v>25</v>
      </c>
      <c r="L9" s="39">
        <f>L2*N9</f>
        <v>70</v>
      </c>
      <c r="M9" s="41" t="s">
        <v>75</v>
      </c>
      <c r="N9" s="42">
        <v>0.01</v>
      </c>
    </row>
    <row r="10">
      <c r="A10" s="39" t="s">
        <v>29</v>
      </c>
      <c r="B10" s="39">
        <f>B2*D10</f>
        <v>0</v>
      </c>
      <c r="C10" s="41" t="s">
        <v>75</v>
      </c>
      <c r="D10" s="42">
        <v>0.0</v>
      </c>
      <c r="E10" s="42"/>
      <c r="F10" s="39" t="s">
        <v>35</v>
      </c>
      <c r="G10" s="39">
        <f>G2*I10</f>
        <v>240</v>
      </c>
      <c r="H10" s="41" t="s">
        <v>75</v>
      </c>
      <c r="I10" s="42">
        <v>0.04</v>
      </c>
      <c r="K10" s="39" t="s">
        <v>28</v>
      </c>
      <c r="L10" s="39">
        <f>L2*N10</f>
        <v>1540</v>
      </c>
      <c r="M10" s="41" t="s">
        <v>75</v>
      </c>
      <c r="N10" s="42">
        <v>0.22</v>
      </c>
    </row>
    <row r="11">
      <c r="A11" s="39" t="s">
        <v>32</v>
      </c>
      <c r="B11" s="39">
        <f>B2*D11</f>
        <v>60</v>
      </c>
      <c r="C11" s="41" t="s">
        <v>75</v>
      </c>
      <c r="D11" s="42">
        <v>0.01</v>
      </c>
      <c r="E11" s="42"/>
      <c r="F11" s="39" t="s">
        <v>29</v>
      </c>
      <c r="G11" s="39">
        <f>G2*I11</f>
        <v>0</v>
      </c>
      <c r="H11" s="41" t="s">
        <v>75</v>
      </c>
      <c r="I11" s="42">
        <v>0.0</v>
      </c>
      <c r="K11" s="39" t="s">
        <v>29</v>
      </c>
      <c r="L11" s="39">
        <f>L2*N11</f>
        <v>0</v>
      </c>
      <c r="M11" s="41" t="s">
        <v>75</v>
      </c>
      <c r="N11" s="42">
        <v>0.0</v>
      </c>
    </row>
    <row r="12">
      <c r="A12" s="39" t="s">
        <v>80</v>
      </c>
      <c r="B12" s="39">
        <f>B2*D12</f>
        <v>1440</v>
      </c>
      <c r="C12" s="41" t="s">
        <v>75</v>
      </c>
      <c r="D12" s="42">
        <v>0.24</v>
      </c>
      <c r="E12" s="42"/>
      <c r="F12" s="39" t="s">
        <v>32</v>
      </c>
      <c r="G12" s="39">
        <f>G2*I12</f>
        <v>60</v>
      </c>
      <c r="H12" s="41" t="s">
        <v>75</v>
      </c>
      <c r="I12" s="42">
        <v>0.01</v>
      </c>
      <c r="K12" s="39" t="s">
        <v>56</v>
      </c>
      <c r="L12" s="39">
        <f>L2*N12</f>
        <v>0</v>
      </c>
      <c r="M12" s="41" t="s">
        <v>75</v>
      </c>
      <c r="N12" s="46">
        <v>0.0</v>
      </c>
    </row>
    <row r="13">
      <c r="F13" s="39" t="s">
        <v>58</v>
      </c>
      <c r="G13" s="39">
        <f>G2*I13</f>
        <v>1800</v>
      </c>
      <c r="H13" s="41" t="s">
        <v>75</v>
      </c>
      <c r="I13" s="42">
        <v>0.3</v>
      </c>
      <c r="K13" s="39" t="s">
        <v>58</v>
      </c>
      <c r="L13" s="39">
        <f>L2*N13</f>
        <v>2100</v>
      </c>
      <c r="M13" s="41" t="s">
        <v>75</v>
      </c>
      <c r="N13" s="42">
        <v>0.3</v>
      </c>
    </row>
    <row r="14" ht="38.25" customHeight="1">
      <c r="A14" s="61" t="s">
        <v>170</v>
      </c>
      <c r="F14" s="37" t="s">
        <v>171</v>
      </c>
      <c r="K14" s="60" t="s">
        <v>172</v>
      </c>
      <c r="M14" s="39"/>
      <c r="N14" s="39"/>
    </row>
    <row r="15">
      <c r="A15" s="39" t="s">
        <v>17</v>
      </c>
      <c r="B15" s="40">
        <v>7000.0</v>
      </c>
      <c r="C15" s="41" t="s">
        <v>75</v>
      </c>
      <c r="D15" s="42">
        <v>1.0</v>
      </c>
      <c r="F15" s="39" t="s">
        <v>17</v>
      </c>
      <c r="G15" s="40">
        <v>7000.0</v>
      </c>
      <c r="H15" s="41" t="s">
        <v>75</v>
      </c>
      <c r="I15" s="42">
        <v>1.0</v>
      </c>
      <c r="K15" s="39" t="s">
        <v>17</v>
      </c>
      <c r="L15" s="40">
        <v>6500.0</v>
      </c>
      <c r="M15" s="41" t="s">
        <v>75</v>
      </c>
      <c r="N15" s="42">
        <v>1.0</v>
      </c>
    </row>
    <row r="16">
      <c r="A16" s="39" t="s">
        <v>18</v>
      </c>
      <c r="B16" s="39">
        <f>B15*D16</f>
        <v>910</v>
      </c>
      <c r="C16" s="41" t="s">
        <v>75</v>
      </c>
      <c r="D16" s="42">
        <v>0.13</v>
      </c>
      <c r="F16" s="39" t="s">
        <v>18</v>
      </c>
      <c r="G16" s="39">
        <f>G15*I16</f>
        <v>910</v>
      </c>
      <c r="H16" s="41" t="s">
        <v>75</v>
      </c>
      <c r="I16" s="42">
        <v>0.13</v>
      </c>
      <c r="K16" s="39" t="s">
        <v>18</v>
      </c>
      <c r="L16" s="39">
        <f>L15*N16</f>
        <v>845</v>
      </c>
      <c r="M16" s="41" t="s">
        <v>75</v>
      </c>
      <c r="N16" s="42">
        <v>0.13</v>
      </c>
    </row>
    <row r="17">
      <c r="A17" s="39" t="s">
        <v>19</v>
      </c>
      <c r="B17" s="39">
        <f>B15*D17</f>
        <v>350</v>
      </c>
      <c r="C17" s="41" t="s">
        <v>75</v>
      </c>
      <c r="D17" s="42">
        <v>0.05</v>
      </c>
      <c r="F17" s="39" t="s">
        <v>19</v>
      </c>
      <c r="G17" s="39">
        <f>G15*I17</f>
        <v>490</v>
      </c>
      <c r="H17" s="41" t="s">
        <v>75</v>
      </c>
      <c r="I17" s="42">
        <v>0.07</v>
      </c>
      <c r="K17" s="39" t="s">
        <v>19</v>
      </c>
      <c r="L17" s="39">
        <f>L15*N17</f>
        <v>455</v>
      </c>
      <c r="M17" s="41" t="s">
        <v>75</v>
      </c>
      <c r="N17" s="42">
        <v>0.07</v>
      </c>
    </row>
    <row r="18">
      <c r="A18" s="39" t="s">
        <v>20</v>
      </c>
      <c r="B18" s="39">
        <f>B15*D18</f>
        <v>140</v>
      </c>
      <c r="C18" s="41" t="s">
        <v>75</v>
      </c>
      <c r="D18" s="42">
        <v>0.02</v>
      </c>
      <c r="F18" s="39" t="s">
        <v>20</v>
      </c>
      <c r="G18" s="39">
        <f>G15*I18</f>
        <v>140</v>
      </c>
      <c r="H18" s="41" t="s">
        <v>75</v>
      </c>
      <c r="I18" s="42">
        <v>0.02</v>
      </c>
      <c r="K18" s="39" t="s">
        <v>20</v>
      </c>
      <c r="L18" s="39">
        <f>L15*N18</f>
        <v>130</v>
      </c>
      <c r="M18" s="41" t="s">
        <v>75</v>
      </c>
      <c r="N18" s="42">
        <v>0.02</v>
      </c>
    </row>
    <row r="19">
      <c r="A19" s="39" t="s">
        <v>77</v>
      </c>
      <c r="B19" s="39">
        <f>B15*D19</f>
        <v>1890</v>
      </c>
      <c r="C19" s="41" t="s">
        <v>75</v>
      </c>
      <c r="D19" s="42">
        <v>0.27</v>
      </c>
      <c r="F19" s="39" t="s">
        <v>77</v>
      </c>
      <c r="G19" s="39">
        <f>G15*I19</f>
        <v>1890</v>
      </c>
      <c r="H19" s="41" t="s">
        <v>75</v>
      </c>
      <c r="I19" s="42">
        <v>0.27</v>
      </c>
      <c r="K19" s="39" t="s">
        <v>77</v>
      </c>
      <c r="L19" s="39">
        <f>L15*N19</f>
        <v>1755</v>
      </c>
      <c r="M19" s="41" t="s">
        <v>75</v>
      </c>
      <c r="N19" s="42">
        <v>0.27</v>
      </c>
    </row>
    <row r="20">
      <c r="A20" s="39" t="s">
        <v>110</v>
      </c>
      <c r="B20" s="39">
        <f>B15*D20</f>
        <v>70</v>
      </c>
      <c r="C20" s="41" t="s">
        <v>75</v>
      </c>
      <c r="D20" s="42">
        <v>0.01</v>
      </c>
      <c r="F20" s="39" t="s">
        <v>110</v>
      </c>
      <c r="G20" s="39">
        <f>G15*I20</f>
        <v>70</v>
      </c>
      <c r="H20" s="41" t="s">
        <v>75</v>
      </c>
      <c r="I20" s="42">
        <v>0.01</v>
      </c>
      <c r="K20" s="39" t="s">
        <v>164</v>
      </c>
      <c r="L20" s="39">
        <f>L15*N20</f>
        <v>65</v>
      </c>
      <c r="M20" s="41" t="s">
        <v>75</v>
      </c>
      <c r="N20" s="42">
        <v>0.01</v>
      </c>
    </row>
    <row r="21">
      <c r="A21" s="39" t="s">
        <v>23</v>
      </c>
      <c r="B21" s="39">
        <f>B15*D21</f>
        <v>105</v>
      </c>
      <c r="C21" s="41" t="s">
        <v>75</v>
      </c>
      <c r="D21" s="42">
        <v>0.015</v>
      </c>
      <c r="F21" s="39" t="s">
        <v>23</v>
      </c>
      <c r="G21" s="39">
        <f>G15*I21</f>
        <v>210</v>
      </c>
      <c r="H21" s="41" t="s">
        <v>75</v>
      </c>
      <c r="I21" s="42">
        <v>0.03</v>
      </c>
      <c r="K21" s="39" t="s">
        <v>23</v>
      </c>
      <c r="L21" s="39">
        <f>L15*N21</f>
        <v>195</v>
      </c>
      <c r="M21" s="41" t="s">
        <v>75</v>
      </c>
      <c r="N21" s="42">
        <v>0.03</v>
      </c>
    </row>
    <row r="22">
      <c r="A22" s="39" t="s">
        <v>25</v>
      </c>
      <c r="B22" s="39">
        <f>B15*D22</f>
        <v>70</v>
      </c>
      <c r="C22" s="41" t="s">
        <v>75</v>
      </c>
      <c r="D22" s="42">
        <v>0.01</v>
      </c>
      <c r="F22" s="39" t="s">
        <v>25</v>
      </c>
      <c r="G22" s="39">
        <f>G15*I22</f>
        <v>70</v>
      </c>
      <c r="H22" s="41" t="s">
        <v>75</v>
      </c>
      <c r="I22" s="42">
        <v>0.01</v>
      </c>
      <c r="K22" s="39" t="s">
        <v>25</v>
      </c>
      <c r="L22" s="39">
        <f>L15*N22</f>
        <v>32.5</v>
      </c>
      <c r="M22" s="41" t="s">
        <v>75</v>
      </c>
      <c r="N22" s="42">
        <v>0.005</v>
      </c>
    </row>
    <row r="23">
      <c r="A23" s="39" t="s">
        <v>29</v>
      </c>
      <c r="B23" s="39">
        <f>B15*D23</f>
        <v>0</v>
      </c>
      <c r="C23" s="41" t="s">
        <v>75</v>
      </c>
      <c r="D23" s="42">
        <v>0.0</v>
      </c>
      <c r="F23" s="39" t="s">
        <v>29</v>
      </c>
      <c r="G23" s="39">
        <f>G15*I23</f>
        <v>0</v>
      </c>
      <c r="H23" s="41" t="s">
        <v>75</v>
      </c>
      <c r="I23" s="42">
        <v>0.0</v>
      </c>
      <c r="K23" s="39" t="s">
        <v>29</v>
      </c>
      <c r="L23" s="39">
        <f>L15*N23</f>
        <v>0</v>
      </c>
      <c r="M23" s="41" t="s">
        <v>75</v>
      </c>
      <c r="N23" s="42">
        <v>0.0</v>
      </c>
    </row>
    <row r="24">
      <c r="A24" s="39" t="s">
        <v>30</v>
      </c>
      <c r="B24" s="39">
        <f>B15*D24</f>
        <v>0</v>
      </c>
      <c r="C24" s="41" t="s">
        <v>75</v>
      </c>
      <c r="D24" s="42">
        <v>0.0</v>
      </c>
      <c r="F24" s="39" t="s">
        <v>58</v>
      </c>
      <c r="G24" s="39">
        <f>G15*I24</f>
        <v>2100</v>
      </c>
      <c r="H24" s="41" t="s">
        <v>75</v>
      </c>
      <c r="I24" s="42">
        <v>0.3</v>
      </c>
      <c r="K24" s="39" t="s">
        <v>58</v>
      </c>
      <c r="L24" s="39">
        <f>L15*N24</f>
        <v>1950</v>
      </c>
      <c r="M24" s="41" t="s">
        <v>75</v>
      </c>
      <c r="N24" s="42">
        <v>0.3</v>
      </c>
    </row>
    <row r="25">
      <c r="A25" s="39" t="s">
        <v>58</v>
      </c>
      <c r="B25" s="39">
        <f>B15*D25</f>
        <v>2450</v>
      </c>
      <c r="C25" s="41" t="s">
        <v>75</v>
      </c>
      <c r="D25" s="42">
        <v>0.35</v>
      </c>
      <c r="K25" s="39" t="s">
        <v>60</v>
      </c>
      <c r="L25" s="39">
        <f>L15*N25</f>
        <v>1625</v>
      </c>
      <c r="M25" s="41" t="s">
        <v>75</v>
      </c>
      <c r="N25" s="46">
        <v>0.25</v>
      </c>
    </row>
    <row r="26">
      <c r="A26" s="39" t="s">
        <v>86</v>
      </c>
      <c r="B26" s="39">
        <f>B15*D26</f>
        <v>1750</v>
      </c>
      <c r="C26" s="41" t="s">
        <v>75</v>
      </c>
      <c r="D26" s="46">
        <v>0.25</v>
      </c>
    </row>
    <row r="27">
      <c r="A27" s="39" t="s">
        <v>111</v>
      </c>
      <c r="B27" s="39">
        <f>B15*D27</f>
        <v>0</v>
      </c>
      <c r="C27" s="41" t="s">
        <v>75</v>
      </c>
      <c r="D27" s="42">
        <v>0.0</v>
      </c>
    </row>
    <row r="28">
      <c r="A28" s="37" t="s">
        <v>173</v>
      </c>
      <c r="F28" s="37" t="s">
        <v>174</v>
      </c>
      <c r="K28" s="37" t="s">
        <v>175</v>
      </c>
    </row>
    <row r="29">
      <c r="A29" s="39" t="s">
        <v>17</v>
      </c>
      <c r="B29" s="40">
        <v>8000.0</v>
      </c>
      <c r="C29" s="41" t="s">
        <v>75</v>
      </c>
      <c r="D29" s="42">
        <v>1.0</v>
      </c>
      <c r="F29" s="39" t="s">
        <v>17</v>
      </c>
      <c r="G29" s="40">
        <v>6750.0</v>
      </c>
      <c r="H29" s="41" t="s">
        <v>75</v>
      </c>
      <c r="I29" s="42">
        <v>1.0</v>
      </c>
      <c r="K29" s="39" t="s">
        <v>17</v>
      </c>
      <c r="L29" s="40">
        <v>7000.0</v>
      </c>
      <c r="M29" s="41" t="s">
        <v>75</v>
      </c>
      <c r="N29" s="42">
        <v>1.0</v>
      </c>
    </row>
    <row r="30">
      <c r="A30" s="39" t="s">
        <v>18</v>
      </c>
      <c r="B30" s="39">
        <f>B29*D30</f>
        <v>1120</v>
      </c>
      <c r="C30" s="41" t="s">
        <v>75</v>
      </c>
      <c r="D30" s="46">
        <v>0.14</v>
      </c>
      <c r="F30" s="39" t="s">
        <v>18</v>
      </c>
      <c r="G30" s="39">
        <f>G29*I30</f>
        <v>1485</v>
      </c>
      <c r="H30" s="41" t="s">
        <v>75</v>
      </c>
      <c r="I30" s="46">
        <v>0.22</v>
      </c>
      <c r="K30" s="39" t="s">
        <v>18</v>
      </c>
      <c r="L30" s="39">
        <f>L29*N30</f>
        <v>1820</v>
      </c>
      <c r="M30" s="41" t="s">
        <v>75</v>
      </c>
      <c r="N30" s="46">
        <v>0.26</v>
      </c>
    </row>
    <row r="31">
      <c r="A31" s="39" t="s">
        <v>19</v>
      </c>
      <c r="B31" s="39">
        <f>B29*D31</f>
        <v>400</v>
      </c>
      <c r="C31" s="41" t="s">
        <v>75</v>
      </c>
      <c r="D31" s="46">
        <v>0.05</v>
      </c>
      <c r="F31" s="39" t="s">
        <v>19</v>
      </c>
      <c r="G31" s="39">
        <f>G29*I31</f>
        <v>405</v>
      </c>
      <c r="H31" s="41" t="s">
        <v>75</v>
      </c>
      <c r="I31" s="46">
        <v>0.06</v>
      </c>
      <c r="K31" s="39" t="s">
        <v>19</v>
      </c>
      <c r="L31" s="39">
        <f>L29*N31</f>
        <v>420</v>
      </c>
      <c r="M31" s="41" t="s">
        <v>75</v>
      </c>
      <c r="N31" s="46">
        <v>0.06</v>
      </c>
    </row>
    <row r="32">
      <c r="A32" s="39" t="s">
        <v>20</v>
      </c>
      <c r="B32" s="39">
        <f>B29*D32</f>
        <v>160</v>
      </c>
      <c r="C32" s="41" t="s">
        <v>75</v>
      </c>
      <c r="D32" s="42">
        <v>0.02</v>
      </c>
      <c r="F32" s="39" t="s">
        <v>77</v>
      </c>
      <c r="G32" s="39">
        <f>G29*I32</f>
        <v>1890</v>
      </c>
      <c r="H32" s="41" t="s">
        <v>75</v>
      </c>
      <c r="I32" s="46">
        <v>0.28</v>
      </c>
      <c r="K32" s="39" t="s">
        <v>77</v>
      </c>
      <c r="L32" s="39">
        <f>L29*N32</f>
        <v>1890</v>
      </c>
      <c r="M32" s="41" t="s">
        <v>75</v>
      </c>
      <c r="N32" s="46">
        <v>0.27</v>
      </c>
    </row>
    <row r="33">
      <c r="A33" s="39" t="s">
        <v>77</v>
      </c>
      <c r="B33" s="39">
        <f>B29*D33</f>
        <v>2240</v>
      </c>
      <c r="C33" s="41" t="s">
        <v>75</v>
      </c>
      <c r="D33" s="46">
        <v>0.28</v>
      </c>
      <c r="F33" s="39" t="s">
        <v>134</v>
      </c>
      <c r="G33" s="39">
        <f>G29*I33</f>
        <v>67.5</v>
      </c>
      <c r="H33" s="41" t="s">
        <v>75</v>
      </c>
      <c r="I33" s="42">
        <v>0.01</v>
      </c>
      <c r="K33" s="39" t="s">
        <v>129</v>
      </c>
      <c r="L33" s="39">
        <f>L29*N33</f>
        <v>70</v>
      </c>
      <c r="M33" s="41" t="s">
        <v>75</v>
      </c>
      <c r="N33" s="42">
        <v>0.01</v>
      </c>
    </row>
    <row r="34">
      <c r="A34" s="39" t="s">
        <v>124</v>
      </c>
      <c r="B34" s="39">
        <f>B29*D34</f>
        <v>80</v>
      </c>
      <c r="C34" s="41" t="s">
        <v>75</v>
      </c>
      <c r="D34" s="42">
        <v>0.01</v>
      </c>
      <c r="F34" s="39" t="s">
        <v>23</v>
      </c>
      <c r="G34" s="39">
        <f>G29*I34</f>
        <v>202.5</v>
      </c>
      <c r="H34" s="41" t="s">
        <v>75</v>
      </c>
      <c r="I34" s="42">
        <v>0.03</v>
      </c>
      <c r="K34" s="39" t="s">
        <v>23</v>
      </c>
      <c r="L34" s="39">
        <f>L29*N34</f>
        <v>140</v>
      </c>
      <c r="M34" s="41" t="s">
        <v>75</v>
      </c>
      <c r="N34" s="42">
        <v>0.02</v>
      </c>
    </row>
    <row r="35">
      <c r="A35" s="39" t="s">
        <v>23</v>
      </c>
      <c r="B35" s="39">
        <f>B29*D35</f>
        <v>160</v>
      </c>
      <c r="C35" s="41" t="s">
        <v>75</v>
      </c>
      <c r="D35" s="42">
        <v>0.02</v>
      </c>
      <c r="F35" s="39" t="s">
        <v>27</v>
      </c>
      <c r="G35" s="58">
        <f>G29*I35</f>
        <v>270</v>
      </c>
      <c r="H35" s="41" t="s">
        <v>75</v>
      </c>
      <c r="I35" s="46">
        <v>0.04</v>
      </c>
      <c r="K35" s="39" t="s">
        <v>58</v>
      </c>
      <c r="L35" s="39">
        <f>L29*N35</f>
        <v>2240</v>
      </c>
      <c r="M35" s="41" t="s">
        <v>75</v>
      </c>
      <c r="N35" s="42">
        <v>0.32</v>
      </c>
    </row>
    <row r="36">
      <c r="A36" s="39" t="s">
        <v>24</v>
      </c>
      <c r="B36" s="39">
        <f>B29*D36</f>
        <v>1280</v>
      </c>
      <c r="C36" s="41" t="s">
        <v>75</v>
      </c>
      <c r="D36" s="46">
        <v>0.16</v>
      </c>
      <c r="F36" s="39" t="s">
        <v>32</v>
      </c>
      <c r="G36" s="39">
        <f>G29*I36</f>
        <v>67.5</v>
      </c>
      <c r="H36" s="41" t="s">
        <v>75</v>
      </c>
      <c r="I36" s="42">
        <v>0.01</v>
      </c>
      <c r="K36" s="39" t="s">
        <v>20</v>
      </c>
      <c r="L36" s="39">
        <f>L29*N36</f>
        <v>0</v>
      </c>
      <c r="M36" s="41" t="s">
        <v>75</v>
      </c>
      <c r="N36" s="46">
        <v>0.0</v>
      </c>
    </row>
    <row r="37">
      <c r="A37" s="39" t="s">
        <v>25</v>
      </c>
      <c r="B37" s="39">
        <f>B29*D37</f>
        <v>80</v>
      </c>
      <c r="C37" s="41" t="s">
        <v>75</v>
      </c>
      <c r="D37" s="42">
        <v>0.01</v>
      </c>
      <c r="F37" s="39" t="s">
        <v>58</v>
      </c>
      <c r="G37" s="39">
        <f>G29*I37</f>
        <v>2025</v>
      </c>
      <c r="H37" s="41" t="s">
        <v>75</v>
      </c>
      <c r="I37" s="46">
        <v>0.3</v>
      </c>
    </row>
    <row r="38">
      <c r="A38" s="39" t="s">
        <v>32</v>
      </c>
      <c r="B38" s="39">
        <f>B29*D38</f>
        <v>80</v>
      </c>
      <c r="C38" s="41" t="s">
        <v>75</v>
      </c>
      <c r="D38" s="42">
        <v>0.01</v>
      </c>
      <c r="F38" s="39" t="s">
        <v>135</v>
      </c>
      <c r="G38" s="39">
        <f>G29*I38</f>
        <v>270</v>
      </c>
      <c r="H38" s="41" t="s">
        <v>75</v>
      </c>
      <c r="I38" s="42">
        <v>0.04</v>
      </c>
    </row>
    <row r="39">
      <c r="A39" s="39" t="s">
        <v>35</v>
      </c>
      <c r="B39" s="39">
        <f>B29*D39</f>
        <v>480</v>
      </c>
      <c r="C39" s="41" t="s">
        <v>75</v>
      </c>
      <c r="D39" s="46">
        <v>0.06</v>
      </c>
    </row>
    <row r="40">
      <c r="A40" s="39" t="s">
        <v>37</v>
      </c>
      <c r="B40" s="39">
        <f>B29*D40</f>
        <v>480</v>
      </c>
      <c r="C40" s="41" t="s">
        <v>75</v>
      </c>
      <c r="D40" s="46">
        <v>0.06</v>
      </c>
    </row>
    <row r="41">
      <c r="A41" s="39" t="s">
        <v>56</v>
      </c>
      <c r="B41" s="39">
        <f>B29*D41</f>
        <v>0</v>
      </c>
      <c r="C41" s="41" t="s">
        <v>75</v>
      </c>
      <c r="D41" s="42">
        <v>0.0</v>
      </c>
    </row>
    <row r="42">
      <c r="A42" s="39" t="s">
        <v>58</v>
      </c>
      <c r="B42" s="40">
        <v>7500.0</v>
      </c>
      <c r="C42" s="41" t="s">
        <v>75</v>
      </c>
      <c r="D42" s="46">
        <v>0.65</v>
      </c>
    </row>
  </sheetData>
  <mergeCells count="8">
    <mergeCell ref="A1:D1"/>
    <mergeCell ref="F1:I1"/>
    <mergeCell ref="K1:N1"/>
    <mergeCell ref="A14:D14"/>
    <mergeCell ref="F14:I14"/>
    <mergeCell ref="A28:D28"/>
    <mergeCell ref="F28:I28"/>
    <mergeCell ref="K28:N28"/>
  </mergeCells>
  <printOptions gridLines="1" horizontalCentered="1"/>
  <pageMargins bottom="0.0" footer="0.0" header="0.0" left="0.0" right="0.0" top="0.19685039370078738"/>
  <pageSetup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57"/>
    <col customWidth="1" min="3" max="3" width="4.86"/>
    <col customWidth="1" min="4" max="8" width="10.71"/>
  </cols>
  <sheetData>
    <row r="1">
      <c r="B1" s="28" t="s">
        <v>176</v>
      </c>
    </row>
    <row r="3">
      <c r="A3" s="28" t="str">
        <f>'COSTOS '!B5</f>
        <v>harina</v>
      </c>
      <c r="B3" s="39">
        <v>12500.0</v>
      </c>
      <c r="C3" s="41" t="s">
        <v>75</v>
      </c>
      <c r="D3" s="42">
        <v>1.0</v>
      </c>
      <c r="E3" s="43">
        <f>B3*'COSTOS '!E5</f>
        <v>44750</v>
      </c>
      <c r="F3" s="39" t="s">
        <v>31</v>
      </c>
      <c r="G3" s="36"/>
      <c r="H3" s="44">
        <f>SUM(B3:B30)</f>
        <v>24875</v>
      </c>
    </row>
    <row r="4">
      <c r="A4" s="28" t="str">
        <f>'COSTOS '!B6</f>
        <v>azucar</v>
      </c>
      <c r="B4" s="39">
        <f>B3*D4</f>
        <v>2000</v>
      </c>
      <c r="C4" s="41" t="s">
        <v>75</v>
      </c>
      <c r="D4" s="42">
        <v>0.16</v>
      </c>
      <c r="E4" s="43">
        <f>B4*'COSTOS '!E6</f>
        <v>8400</v>
      </c>
      <c r="F4" s="39" t="s">
        <v>33</v>
      </c>
      <c r="G4" s="36"/>
      <c r="H4" s="48">
        <v>250.0</v>
      </c>
    </row>
    <row r="5">
      <c r="A5" s="28" t="str">
        <f>'COSTOS '!B7</f>
        <v>huevos </v>
      </c>
      <c r="B5" s="39">
        <f>B3*D5</f>
        <v>1000</v>
      </c>
      <c r="C5" s="41" t="s">
        <v>75</v>
      </c>
      <c r="D5" s="42">
        <v>0.08</v>
      </c>
      <c r="E5" s="43">
        <f>B5*'COSTOS '!E7</f>
        <v>12444.44444</v>
      </c>
      <c r="F5" s="39" t="s">
        <v>36</v>
      </c>
      <c r="G5" s="36"/>
      <c r="H5" s="48">
        <f>H14/36</f>
        <v>33.33333333</v>
      </c>
    </row>
    <row r="6">
      <c r="A6" s="28" t="str">
        <f>'COSTOS '!B8</f>
        <v>sal</v>
      </c>
      <c r="B6" s="39">
        <f>B3*D6</f>
        <v>250</v>
      </c>
      <c r="C6" s="41" t="s">
        <v>75</v>
      </c>
      <c r="D6" s="42">
        <v>0.02</v>
      </c>
      <c r="E6" s="43">
        <f>B6*'COSTOS '!E8</f>
        <v>468.75</v>
      </c>
      <c r="F6" s="39" t="s">
        <v>38</v>
      </c>
      <c r="G6" s="36"/>
      <c r="H6" s="44">
        <f>H3/H5</f>
        <v>746.25</v>
      </c>
    </row>
    <row r="7">
      <c r="A7" s="28" t="str">
        <f>'COSTOS '!B9</f>
        <v>mantequilla AT</v>
      </c>
      <c r="B7" s="39">
        <f>B3*D7</f>
        <v>3625</v>
      </c>
      <c r="C7" s="41" t="s">
        <v>75</v>
      </c>
      <c r="D7" s="42">
        <v>0.29</v>
      </c>
      <c r="E7" s="43">
        <f>B7*'COSTOS '!E9</f>
        <v>29000</v>
      </c>
      <c r="F7" s="39" t="s">
        <v>40</v>
      </c>
      <c r="G7" s="36"/>
      <c r="H7" s="44">
        <f>H6*H4</f>
        <v>186562.5</v>
      </c>
    </row>
    <row r="8">
      <c r="A8" s="28" t="str">
        <f>'COSTOS '!B10</f>
        <v>ecencia </v>
      </c>
      <c r="B8" s="39">
        <f>B3*D8</f>
        <v>250</v>
      </c>
      <c r="C8" s="41" t="s">
        <v>75</v>
      </c>
      <c r="D8" s="42">
        <v>0.02</v>
      </c>
      <c r="E8" s="43">
        <f>B8*'COSTOS '!E10</f>
        <v>2000</v>
      </c>
      <c r="F8" s="39" t="s">
        <v>43</v>
      </c>
      <c r="G8" s="36"/>
      <c r="H8" s="48">
        <f>SUM(E3:E30)</f>
        <v>115384.5013</v>
      </c>
    </row>
    <row r="9">
      <c r="A9" s="28" t="str">
        <f>'COSTOS '!B11</f>
        <v>levadura</v>
      </c>
      <c r="B9" s="39">
        <f>B3*D9</f>
        <v>375</v>
      </c>
      <c r="C9" s="41" t="s">
        <v>75</v>
      </c>
      <c r="D9" s="42">
        <v>0.03</v>
      </c>
      <c r="E9" s="43">
        <f>B9*'COSTOS '!E11</f>
        <v>3975</v>
      </c>
      <c r="F9" s="39" t="s">
        <v>45</v>
      </c>
      <c r="G9" s="36"/>
      <c r="H9" s="48">
        <v>8000.0</v>
      </c>
    </row>
    <row r="10">
      <c r="A10" s="28" t="str">
        <f>'COSTOS '!B12</f>
        <v>queso</v>
      </c>
      <c r="B10" s="39">
        <f>B3*D10</f>
        <v>0</v>
      </c>
      <c r="C10" s="41" t="s">
        <v>75</v>
      </c>
      <c r="D10" s="42">
        <v>0.0</v>
      </c>
      <c r="E10" s="43">
        <f>B10*'COSTOS '!E12</f>
        <v>0</v>
      </c>
      <c r="F10" s="39" t="s">
        <v>47</v>
      </c>
      <c r="G10" s="36"/>
      <c r="H10" s="48">
        <v>4000.0</v>
      </c>
    </row>
    <row r="11">
      <c r="A11" s="28" t="str">
        <f>'COSTOS '!B13</f>
        <v>color</v>
      </c>
      <c r="B11" s="39">
        <f>B3*D11</f>
        <v>0</v>
      </c>
      <c r="C11" s="41" t="s">
        <v>75</v>
      </c>
      <c r="D11" s="42">
        <v>0.0</v>
      </c>
      <c r="E11" s="43">
        <f>B11*'COSTOS '!E13</f>
        <v>0</v>
      </c>
      <c r="F11" s="39" t="s">
        <v>49</v>
      </c>
      <c r="G11" s="36"/>
      <c r="H11" s="48">
        <v>2000.0</v>
      </c>
    </row>
    <row r="12">
      <c r="A12" s="28" t="str">
        <f>'COSTOS '!B14</f>
        <v>arequipe </v>
      </c>
      <c r="B12" s="39">
        <f>B3*D12</f>
        <v>0</v>
      </c>
      <c r="C12" s="41" t="s">
        <v>75</v>
      </c>
      <c r="D12" s="42">
        <v>0.0</v>
      </c>
      <c r="E12" s="43">
        <f>B12*'COSTOS '!E14</f>
        <v>0</v>
      </c>
      <c r="F12" s="39" t="s">
        <v>51</v>
      </c>
      <c r="G12" s="36"/>
      <c r="H12" s="48">
        <v>8000.0</v>
      </c>
    </row>
    <row r="13">
      <c r="A13" s="28" t="str">
        <f>'COSTOS '!B15</f>
        <v>fecula </v>
      </c>
      <c r="B13" s="39">
        <f>B3*D13</f>
        <v>750</v>
      </c>
      <c r="C13" s="41" t="s">
        <v>75</v>
      </c>
      <c r="D13" s="42">
        <v>0.06</v>
      </c>
      <c r="E13" s="43">
        <f>B13*'COSTOS '!E15</f>
        <v>5318.181818</v>
      </c>
      <c r="F13" s="39" t="s">
        <v>53</v>
      </c>
      <c r="G13" s="36"/>
      <c r="H13" s="48">
        <f>H7-H8-H9-H10-H11-H12</f>
        <v>49177.99874</v>
      </c>
    </row>
    <row r="14">
      <c r="A14" s="28" t="str">
        <f>'COSTOS '!B16</f>
        <v>hojaldre</v>
      </c>
      <c r="B14" s="39">
        <f>B3*D14</f>
        <v>0</v>
      </c>
      <c r="C14" s="41" t="s">
        <v>75</v>
      </c>
      <c r="D14" s="42">
        <v>0.0</v>
      </c>
      <c r="E14" s="43">
        <f>B14*'COSTOS '!E16</f>
        <v>0</v>
      </c>
      <c r="F14" s="39" t="s">
        <v>79</v>
      </c>
      <c r="G14" s="36"/>
      <c r="H14" s="48">
        <v>1200.0</v>
      </c>
    </row>
    <row r="15">
      <c r="A15" s="28" t="str">
        <f>'COSTOS '!B17</f>
        <v>leche en polvo</v>
      </c>
      <c r="B15" s="39">
        <f>B3*D15</f>
        <v>500</v>
      </c>
      <c r="C15" s="41" t="s">
        <v>75</v>
      </c>
      <c r="D15" s="42">
        <v>0.04</v>
      </c>
      <c r="E15" s="43">
        <f>B15*'COSTOS '!E17</f>
        <v>8400</v>
      </c>
    </row>
    <row r="16">
      <c r="A16" s="28" t="str">
        <f>'COSTOS '!B18</f>
        <v>manq de vaca </v>
      </c>
      <c r="B16" s="39">
        <f>B3*D16</f>
        <v>375</v>
      </c>
      <c r="C16" s="41" t="s">
        <v>75</v>
      </c>
      <c r="D16" s="42">
        <v>0.03</v>
      </c>
      <c r="E16" s="43">
        <f>B16*'COSTOS '!E18</f>
        <v>0</v>
      </c>
    </row>
    <row r="17">
      <c r="A17" s="28" t="str">
        <f>'COSTOS '!B19</f>
        <v>polvo de horniar</v>
      </c>
      <c r="B17" s="39">
        <f>B3*D17</f>
        <v>0</v>
      </c>
      <c r="C17" s="41" t="s">
        <v>75</v>
      </c>
      <c r="D17" s="42">
        <v>0.0</v>
      </c>
      <c r="E17" s="43">
        <f>B17*'COSTOS '!E19</f>
        <v>0</v>
      </c>
    </row>
    <row r="18">
      <c r="A18" s="28" t="str">
        <f>'COSTOS '!B20</f>
        <v>colmaiz </v>
      </c>
      <c r="B18" s="39">
        <f>B3*D18</f>
        <v>0</v>
      </c>
      <c r="C18" s="41" t="s">
        <v>75</v>
      </c>
      <c r="D18" s="42">
        <v>0.0</v>
      </c>
      <c r="E18" s="43">
        <f>B18*'COSTOS '!E20</f>
        <v>0</v>
      </c>
    </row>
    <row r="19">
      <c r="A19" s="28" t="str">
        <f>'COSTOS '!B21</f>
        <v>promaza</v>
      </c>
      <c r="B19" s="39">
        <f>B3*D19</f>
        <v>0</v>
      </c>
      <c r="C19" s="41" t="s">
        <v>75</v>
      </c>
      <c r="D19" s="42">
        <v>0.0</v>
      </c>
      <c r="E19" s="43">
        <f>B19*'COSTOS '!E21</f>
        <v>0</v>
      </c>
    </row>
    <row r="20">
      <c r="A20" s="28" t="str">
        <f>'COSTOS '!B22</f>
        <v>azucar en polvo</v>
      </c>
      <c r="B20" s="39">
        <f>B3*D20</f>
        <v>0</v>
      </c>
      <c r="C20" s="41" t="s">
        <v>75</v>
      </c>
      <c r="D20" s="42">
        <v>0.0</v>
      </c>
      <c r="E20" s="43">
        <f>B20*'COSTOS '!E22</f>
        <v>0</v>
      </c>
    </row>
    <row r="21" ht="15.75" customHeight="1">
      <c r="A21" s="28" t="str">
        <f>'COSTOS '!B23</f>
        <v>almidon</v>
      </c>
      <c r="B21" s="39">
        <f>B3*D21</f>
        <v>0</v>
      </c>
      <c r="C21" s="41" t="s">
        <v>75</v>
      </c>
      <c r="D21" s="42">
        <v>0.0</v>
      </c>
      <c r="E21" s="43">
        <f>B21*'COSTOS '!E23</f>
        <v>0</v>
      </c>
    </row>
    <row r="22" ht="15.75" customHeight="1">
      <c r="A22" s="28" t="str">
        <f>'COSTOS '!B24</f>
        <v>aceite</v>
      </c>
      <c r="B22" s="39">
        <f>B3*D22</f>
        <v>0</v>
      </c>
      <c r="C22" s="41" t="s">
        <v>75</v>
      </c>
      <c r="D22" s="42">
        <v>0.0</v>
      </c>
      <c r="E22" s="43">
        <f>B22*'COSTOS '!E24</f>
        <v>0</v>
      </c>
    </row>
    <row r="23" ht="15.75" customHeight="1">
      <c r="A23" s="28" t="str">
        <f>'COSTOS '!B25</f>
        <v>uvas pasa</v>
      </c>
      <c r="B23" s="39">
        <f>B3*D23</f>
        <v>0</v>
      </c>
      <c r="C23" s="41" t="s">
        <v>75</v>
      </c>
      <c r="D23" s="42">
        <v>0.0</v>
      </c>
      <c r="E23" s="43">
        <f>B23*'COSTOS '!E25</f>
        <v>0</v>
      </c>
    </row>
    <row r="24" ht="15.75" customHeight="1">
      <c r="A24" s="28" t="str">
        <f>'COSTOS '!B26</f>
        <v>frurta crista</v>
      </c>
      <c r="B24" s="39">
        <f>B3*D24</f>
        <v>0</v>
      </c>
      <c r="C24" s="41" t="s">
        <v>75</v>
      </c>
      <c r="D24" s="42">
        <v>0.0</v>
      </c>
      <c r="E24" s="43">
        <f>B24*'COSTOS '!E26</f>
        <v>0</v>
      </c>
    </row>
    <row r="25" ht="15.75" customHeight="1">
      <c r="A25" s="28" t="str">
        <f>'COSTOS '!B27</f>
        <v>nuez brasil</v>
      </c>
      <c r="B25" s="39">
        <f>B3*D25</f>
        <v>0</v>
      </c>
      <c r="C25" s="41" t="s">
        <v>75</v>
      </c>
      <c r="D25" s="42">
        <v>0.0</v>
      </c>
      <c r="E25" s="43">
        <f>B25*'COSTOS '!E27</f>
        <v>0</v>
      </c>
    </row>
    <row r="26" ht="15.75" customHeight="1">
      <c r="A26" s="28" t="str">
        <f>'COSTOS '!B28</f>
        <v>coco dulce</v>
      </c>
      <c r="B26" s="39">
        <f>B3*D26</f>
        <v>0</v>
      </c>
      <c r="C26" s="41" t="s">
        <v>75</v>
      </c>
      <c r="D26" s="42">
        <v>0.0</v>
      </c>
      <c r="E26" s="43">
        <f>B26*'COSTOS '!E28</f>
        <v>0</v>
      </c>
    </row>
    <row r="27" ht="15.75" customHeight="1">
      <c r="A27" s="28" t="str">
        <f>'COSTOS '!B29</f>
        <v>coco simple </v>
      </c>
      <c r="B27" s="39">
        <f>B3*D27</f>
        <v>0</v>
      </c>
      <c r="C27" s="41" t="s">
        <v>75</v>
      </c>
      <c r="D27" s="42">
        <v>0.0</v>
      </c>
      <c r="E27" s="43">
        <f>B27*'COSTOS '!E29</f>
        <v>0</v>
      </c>
    </row>
    <row r="28" ht="15.75" customHeight="1">
      <c r="A28" s="28" t="str">
        <f>'COSTOS '!B30</f>
        <v>scernido</v>
      </c>
      <c r="B28" s="39">
        <f>B3*D28</f>
        <v>0</v>
      </c>
      <c r="C28" s="41" t="s">
        <v>75</v>
      </c>
      <c r="D28" s="42">
        <v>0.0</v>
      </c>
      <c r="E28" s="43">
        <f>B28*'COSTOS '!E30</f>
        <v>0</v>
      </c>
    </row>
    <row r="29" ht="15.75" customHeight="1">
      <c r="A29" s="28" t="str">
        <f>'COSTOS '!B31</f>
        <v>otros</v>
      </c>
      <c r="B29" s="39">
        <f>B3*D29</f>
        <v>125</v>
      </c>
      <c r="C29" s="41" t="s">
        <v>75</v>
      </c>
      <c r="D29" s="42">
        <v>0.01</v>
      </c>
      <c r="E29" s="43">
        <f>B29*'COSTOS '!E31</f>
        <v>625</v>
      </c>
    </row>
    <row r="30" ht="15.75" customHeight="1">
      <c r="A30" s="28" t="str">
        <f>'COSTOS '!B32</f>
        <v>agua</v>
      </c>
      <c r="B30" s="39">
        <f>B3*D30</f>
        <v>3125</v>
      </c>
      <c r="C30" s="41" t="s">
        <v>75</v>
      </c>
      <c r="D30" s="42">
        <v>0.25</v>
      </c>
      <c r="E30" s="43">
        <f>B30*'COSTOS '!E32</f>
        <v>3.125</v>
      </c>
    </row>
    <row r="31" ht="15.75" customHeight="1">
      <c r="A31" s="28" t="str">
        <f>'COSTOS '!B33</f>
        <v>EPANDEX</v>
      </c>
      <c r="D31" s="42"/>
    </row>
    <row r="32" ht="15.75" customHeight="1">
      <c r="D32" s="42"/>
    </row>
    <row r="33" ht="15.75" customHeight="1"/>
    <row r="34" ht="15.75" customHeight="1"/>
    <row r="35" ht="15.75" customHeight="1"/>
    <row r="36" ht="15.75" customHeight="1"/>
    <row r="37" ht="15.75" customHeight="1">
      <c r="B37" s="28" t="s">
        <v>150</v>
      </c>
    </row>
    <row r="38" ht="15.75" customHeight="1"/>
    <row r="39" ht="15.75" customHeight="1">
      <c r="A39" s="28" t="str">
        <f>'COSTOS '!B5</f>
        <v>harina</v>
      </c>
      <c r="B39" s="39">
        <v>3000.0</v>
      </c>
      <c r="C39" s="41" t="s">
        <v>75</v>
      </c>
      <c r="D39" s="42">
        <v>1.0</v>
      </c>
      <c r="E39" s="43">
        <f>B39*'COSTOS '!E5</f>
        <v>10740</v>
      </c>
      <c r="F39" s="39" t="s">
        <v>31</v>
      </c>
      <c r="G39" s="36"/>
      <c r="H39" s="44">
        <f>SUM(B39:B66)</f>
        <v>6060</v>
      </c>
    </row>
    <row r="40" ht="15.75" customHeight="1">
      <c r="A40" s="28" t="str">
        <f>'COSTOS '!B6</f>
        <v>azucar</v>
      </c>
      <c r="B40" s="39">
        <f>B39*D40</f>
        <v>480</v>
      </c>
      <c r="C40" s="41" t="s">
        <v>75</v>
      </c>
      <c r="D40" s="42">
        <v>0.16</v>
      </c>
      <c r="E40" s="43">
        <f>B40*'COSTOS '!E6</f>
        <v>2016</v>
      </c>
      <c r="F40" s="39" t="s">
        <v>33</v>
      </c>
      <c r="G40" s="36"/>
      <c r="H40" s="48">
        <f>5000/3</f>
        <v>1666.666667</v>
      </c>
    </row>
    <row r="41" ht="15.75" customHeight="1">
      <c r="A41" s="28" t="str">
        <f>'COSTOS '!B7</f>
        <v>huevos </v>
      </c>
      <c r="B41" s="39">
        <f>B39*D41</f>
        <v>780</v>
      </c>
      <c r="C41" s="41" t="s">
        <v>75</v>
      </c>
      <c r="D41" s="42">
        <v>0.26</v>
      </c>
      <c r="E41" s="43">
        <f>B41*'COSTOS '!E7</f>
        <v>9706.666667</v>
      </c>
      <c r="F41" s="39" t="s">
        <v>36</v>
      </c>
      <c r="G41" s="36"/>
      <c r="H41" s="48">
        <f>H50/36</f>
        <v>188</v>
      </c>
    </row>
    <row r="42" ht="15.75" customHeight="1">
      <c r="A42" s="28" t="str">
        <f>'COSTOS '!B8</f>
        <v>sal</v>
      </c>
      <c r="B42" s="39">
        <f>B39*D42</f>
        <v>60</v>
      </c>
      <c r="C42" s="41" t="s">
        <v>75</v>
      </c>
      <c r="D42" s="42">
        <v>0.02</v>
      </c>
      <c r="E42" s="43">
        <f>B42*'COSTOS '!E8</f>
        <v>112.5</v>
      </c>
      <c r="F42" s="39" t="s">
        <v>38</v>
      </c>
      <c r="G42" s="36"/>
      <c r="H42" s="44">
        <f>H39/H41</f>
        <v>32.23404255</v>
      </c>
    </row>
    <row r="43" ht="15.75" customHeight="1">
      <c r="A43" s="28" t="str">
        <f>'COSTOS '!B9</f>
        <v>mantequilla AT</v>
      </c>
      <c r="B43" s="39">
        <f>B39*D43</f>
        <v>1350</v>
      </c>
      <c r="C43" s="41" t="s">
        <v>75</v>
      </c>
      <c r="D43" s="42">
        <v>0.45</v>
      </c>
      <c r="E43" s="43">
        <f>B43*'COSTOS '!E9</f>
        <v>10800</v>
      </c>
      <c r="F43" s="39" t="s">
        <v>40</v>
      </c>
      <c r="G43" s="36"/>
      <c r="H43" s="44">
        <f>H42*H40</f>
        <v>53723.40426</v>
      </c>
    </row>
    <row r="44" ht="15.75" customHeight="1">
      <c r="A44" s="28" t="str">
        <f>'COSTOS '!B10</f>
        <v>ecencia </v>
      </c>
      <c r="B44" s="39">
        <f>B39*D44</f>
        <v>60</v>
      </c>
      <c r="C44" s="41" t="s">
        <v>75</v>
      </c>
      <c r="D44" s="42">
        <v>0.02</v>
      </c>
      <c r="E44" s="43">
        <f>B44*'COSTOS '!E10</f>
        <v>480</v>
      </c>
      <c r="F44" s="39" t="s">
        <v>43</v>
      </c>
      <c r="G44" s="36"/>
      <c r="H44" s="48">
        <f>SUM(E39:E66)</f>
        <v>35913.16667</v>
      </c>
    </row>
    <row r="45" ht="15.75" customHeight="1">
      <c r="A45" s="28" t="str">
        <f>'COSTOS '!B11</f>
        <v>levadura</v>
      </c>
      <c r="B45" s="39">
        <f>B39*D45</f>
        <v>180</v>
      </c>
      <c r="C45" s="41" t="s">
        <v>75</v>
      </c>
      <c r="D45" s="42">
        <v>0.06</v>
      </c>
      <c r="E45" s="43">
        <f>B45*'COSTOS '!E11</f>
        <v>1908</v>
      </c>
      <c r="F45" s="39" t="s">
        <v>45</v>
      </c>
      <c r="G45" s="36"/>
      <c r="H45" s="48">
        <v>8000.0</v>
      </c>
    </row>
    <row r="46" ht="15.75" customHeight="1">
      <c r="A46" s="28" t="str">
        <f>'COSTOS '!B12</f>
        <v>queso</v>
      </c>
      <c r="B46" s="39">
        <f>B39*D46</f>
        <v>0</v>
      </c>
      <c r="C46" s="41" t="s">
        <v>75</v>
      </c>
      <c r="D46" s="42">
        <v>0.0</v>
      </c>
      <c r="E46" s="43">
        <f>B46*'COSTOS '!E12</f>
        <v>0</v>
      </c>
      <c r="F46" s="39" t="s">
        <v>47</v>
      </c>
      <c r="G46" s="36"/>
      <c r="H46" s="48">
        <v>4000.0</v>
      </c>
    </row>
    <row r="47" ht="15.75" customHeight="1">
      <c r="A47" s="28" t="str">
        <f>'COSTOS '!B13</f>
        <v>color</v>
      </c>
      <c r="B47" s="39">
        <f>B39*D47</f>
        <v>0</v>
      </c>
      <c r="C47" s="41" t="s">
        <v>75</v>
      </c>
      <c r="D47" s="42">
        <v>0.0</v>
      </c>
      <c r="E47" s="43">
        <f>B47*'COSTOS '!E13</f>
        <v>0</v>
      </c>
      <c r="F47" s="39" t="s">
        <v>49</v>
      </c>
      <c r="G47" s="36"/>
      <c r="H47" s="48">
        <v>2000.0</v>
      </c>
    </row>
    <row r="48" ht="15.75" customHeight="1">
      <c r="A48" s="28" t="str">
        <f>'COSTOS '!B14</f>
        <v>arequipe </v>
      </c>
      <c r="B48" s="39">
        <f>B39*D48</f>
        <v>0</v>
      </c>
      <c r="C48" s="41" t="s">
        <v>75</v>
      </c>
      <c r="D48" s="42">
        <v>0.0</v>
      </c>
      <c r="E48" s="43">
        <f>B48*'COSTOS '!E14</f>
        <v>0</v>
      </c>
      <c r="F48" s="39" t="s">
        <v>51</v>
      </c>
      <c r="G48" s="36"/>
      <c r="H48" s="48">
        <v>8000.0</v>
      </c>
    </row>
    <row r="49" ht="15.75" customHeight="1">
      <c r="A49" s="28" t="str">
        <f>'COSTOS '!B15</f>
        <v>fecula </v>
      </c>
      <c r="B49" s="39">
        <f>B39*D49</f>
        <v>0</v>
      </c>
      <c r="C49" s="41" t="s">
        <v>75</v>
      </c>
      <c r="D49" s="42">
        <v>0.0</v>
      </c>
      <c r="E49" s="43">
        <f>B49*'COSTOS '!E15</f>
        <v>0</v>
      </c>
      <c r="F49" s="39" t="s">
        <v>53</v>
      </c>
      <c r="G49" s="36"/>
      <c r="H49" s="48">
        <f>H43-H44-H45-H46-H47-H48</f>
        <v>-4189.762411</v>
      </c>
    </row>
    <row r="50" ht="15.75" customHeight="1">
      <c r="A50" s="28" t="str">
        <f>'COSTOS '!B16</f>
        <v>hojaldre</v>
      </c>
      <c r="B50" s="39">
        <f>B39*D50</f>
        <v>0</v>
      </c>
      <c r="C50" s="41" t="s">
        <v>75</v>
      </c>
      <c r="D50" s="42">
        <v>0.0</v>
      </c>
      <c r="E50" s="43">
        <f>B50*'COSTOS '!E16</f>
        <v>0</v>
      </c>
      <c r="F50" s="39" t="s">
        <v>79</v>
      </c>
      <c r="G50" s="36"/>
      <c r="H50" s="48">
        <f>47*4*36</f>
        <v>6768</v>
      </c>
    </row>
    <row r="51" ht="15.75" customHeight="1">
      <c r="A51" s="28" t="str">
        <f>'COSTOS '!B17</f>
        <v>leche en polvo</v>
      </c>
      <c r="B51" s="39">
        <f>B39*D51</f>
        <v>0</v>
      </c>
      <c r="C51" s="41" t="s">
        <v>75</v>
      </c>
      <c r="D51" s="42">
        <v>0.0</v>
      </c>
      <c r="E51" s="43">
        <f>B51*'COSTOS '!E17</f>
        <v>0</v>
      </c>
    </row>
    <row r="52" ht="15.75" customHeight="1">
      <c r="A52" s="28" t="str">
        <f>'COSTOS '!B18</f>
        <v>manq de vaca </v>
      </c>
      <c r="B52" s="39">
        <f>B39*D52</f>
        <v>120</v>
      </c>
      <c r="C52" s="41" t="s">
        <v>75</v>
      </c>
      <c r="D52" s="42">
        <v>0.04</v>
      </c>
      <c r="E52" s="43">
        <f>B52*'COSTOS '!E18</f>
        <v>0</v>
      </c>
    </row>
    <row r="53" ht="15.75" customHeight="1">
      <c r="A53" s="28" t="str">
        <f>'COSTOS '!B19</f>
        <v>polvo de horniar</v>
      </c>
      <c r="B53" s="39">
        <f>B39*D53</f>
        <v>0</v>
      </c>
      <c r="C53" s="41" t="s">
        <v>75</v>
      </c>
      <c r="D53" s="42">
        <v>0.0</v>
      </c>
      <c r="E53" s="43">
        <f>B53*'COSTOS '!E19</f>
        <v>0</v>
      </c>
    </row>
    <row r="54" ht="15.75" customHeight="1">
      <c r="A54" s="28" t="str">
        <f>'COSTOS '!B20</f>
        <v>colmaiz </v>
      </c>
      <c r="B54" s="39">
        <f>B39*D54</f>
        <v>0</v>
      </c>
      <c r="C54" s="41" t="s">
        <v>75</v>
      </c>
      <c r="D54" s="42">
        <v>0.0</v>
      </c>
      <c r="E54" s="43">
        <f>B54*'COSTOS '!E20</f>
        <v>0</v>
      </c>
    </row>
    <row r="55" ht="15.75" customHeight="1">
      <c r="A55" s="28" t="str">
        <f>'COSTOS '!B21</f>
        <v>promaza</v>
      </c>
      <c r="B55" s="39">
        <f>B39*D55</f>
        <v>0</v>
      </c>
      <c r="C55" s="41" t="s">
        <v>75</v>
      </c>
      <c r="D55" s="42">
        <v>0.0</v>
      </c>
      <c r="E55" s="43">
        <f>B55*'COSTOS '!E21</f>
        <v>0</v>
      </c>
    </row>
    <row r="56" ht="15.75" customHeight="1">
      <c r="A56" s="28" t="str">
        <f>'COSTOS '!B22</f>
        <v>azucar en polvo</v>
      </c>
      <c r="B56" s="39">
        <f>B39*D56</f>
        <v>0</v>
      </c>
      <c r="C56" s="41" t="s">
        <v>75</v>
      </c>
      <c r="D56" s="42">
        <v>0.0</v>
      </c>
      <c r="E56" s="43">
        <f>B56*'COSTOS '!E22</f>
        <v>0</v>
      </c>
    </row>
    <row r="57" ht="15.75" customHeight="1">
      <c r="A57" s="28" t="str">
        <f>'COSTOS '!B23</f>
        <v>almidon</v>
      </c>
      <c r="B57" s="39">
        <f>B39*D57</f>
        <v>0</v>
      </c>
      <c r="C57" s="41" t="s">
        <v>75</v>
      </c>
      <c r="D57" s="42">
        <v>0.0</v>
      </c>
      <c r="E57" s="43">
        <f>B57*'COSTOS '!E23</f>
        <v>0</v>
      </c>
    </row>
    <row r="58" ht="15.75" customHeight="1">
      <c r="A58" s="28" t="str">
        <f>'COSTOS '!B24</f>
        <v>aceite</v>
      </c>
      <c r="B58" s="39">
        <f>B39*D58</f>
        <v>0</v>
      </c>
      <c r="C58" s="41" t="s">
        <v>75</v>
      </c>
      <c r="D58" s="42">
        <v>0.0</v>
      </c>
      <c r="E58" s="43">
        <f>B58*'COSTOS '!E24</f>
        <v>0</v>
      </c>
    </row>
    <row r="59" ht="15.75" customHeight="1">
      <c r="A59" s="28" t="str">
        <f>'COSTOS '!B25</f>
        <v>uvas pasa</v>
      </c>
      <c r="B59" s="39">
        <f>B39*D59</f>
        <v>0</v>
      </c>
      <c r="C59" s="41" t="s">
        <v>75</v>
      </c>
      <c r="D59" s="42">
        <v>0.0</v>
      </c>
      <c r="E59" s="43">
        <f>B59*'COSTOS '!E25</f>
        <v>0</v>
      </c>
    </row>
    <row r="60" ht="15.75" customHeight="1">
      <c r="A60" s="28" t="str">
        <f>'COSTOS '!B26</f>
        <v>frurta crista</v>
      </c>
      <c r="B60" s="39">
        <f>B39*D60</f>
        <v>0</v>
      </c>
      <c r="C60" s="41" t="s">
        <v>75</v>
      </c>
      <c r="D60" s="42">
        <v>0.0</v>
      </c>
      <c r="E60" s="43">
        <f>B60*'COSTOS '!E26</f>
        <v>0</v>
      </c>
    </row>
    <row r="61" ht="15.75" customHeight="1">
      <c r="A61" s="28" t="str">
        <f>'COSTOS '!B27</f>
        <v>nuez brasil</v>
      </c>
      <c r="B61" s="39">
        <f>B39*D61</f>
        <v>0</v>
      </c>
      <c r="C61" s="41" t="s">
        <v>75</v>
      </c>
      <c r="D61" s="42">
        <v>0.0</v>
      </c>
      <c r="E61" s="43">
        <f>B61*'COSTOS '!E27</f>
        <v>0</v>
      </c>
    </row>
    <row r="62" ht="15.75" customHeight="1">
      <c r="A62" s="28" t="str">
        <f>'COSTOS '!B28</f>
        <v>coco dulce</v>
      </c>
      <c r="B62" s="39">
        <f>B39*D62</f>
        <v>0</v>
      </c>
      <c r="C62" s="41" t="s">
        <v>75</v>
      </c>
      <c r="D62" s="42">
        <v>0.0</v>
      </c>
      <c r="E62" s="43">
        <f>B62*'COSTOS '!E28</f>
        <v>0</v>
      </c>
    </row>
    <row r="63" ht="15.75" customHeight="1">
      <c r="A63" s="28" t="str">
        <f>'COSTOS '!B29</f>
        <v>coco simple </v>
      </c>
      <c r="B63" s="39">
        <f>B39*D63</f>
        <v>0</v>
      </c>
      <c r="C63" s="41" t="s">
        <v>75</v>
      </c>
      <c r="D63" s="42">
        <v>0.0</v>
      </c>
      <c r="E63" s="43">
        <f>B63*'COSTOS '!E29</f>
        <v>0</v>
      </c>
    </row>
    <row r="64" ht="15.75" customHeight="1">
      <c r="A64" s="28" t="str">
        <f>'COSTOS '!B30</f>
        <v>scernido</v>
      </c>
      <c r="B64" s="39">
        <f>B39*D64</f>
        <v>0</v>
      </c>
      <c r="C64" s="41" t="s">
        <v>75</v>
      </c>
      <c r="D64" s="42">
        <v>0.0</v>
      </c>
      <c r="E64" s="43">
        <f>B64*'COSTOS '!E30</f>
        <v>0</v>
      </c>
    </row>
    <row r="65" ht="15.75" customHeight="1">
      <c r="A65" s="28" t="str">
        <f>'COSTOS '!B31</f>
        <v>otros</v>
      </c>
      <c r="B65" s="39">
        <f>B39*D65</f>
        <v>30</v>
      </c>
      <c r="C65" s="41" t="s">
        <v>75</v>
      </c>
      <c r="D65" s="42">
        <v>0.01</v>
      </c>
      <c r="E65" s="43">
        <f>B65*'COSTOS '!E31</f>
        <v>150</v>
      </c>
    </row>
    <row r="66" ht="15.75" customHeight="1">
      <c r="A66" s="28" t="str">
        <f>'COSTOS '!B32</f>
        <v>agua</v>
      </c>
      <c r="B66" s="39">
        <f>B39*D66</f>
        <v>0</v>
      </c>
      <c r="C66" s="41" t="s">
        <v>75</v>
      </c>
      <c r="D66" s="42">
        <v>0.0</v>
      </c>
      <c r="E66" s="43">
        <f>B66*'COSTOS '!E32</f>
        <v>0</v>
      </c>
    </row>
    <row r="67" ht="15.75" customHeight="1">
      <c r="A67" s="28" t="str">
        <f>'COSTOS '!B33</f>
        <v>EPANDEX</v>
      </c>
      <c r="D67" s="42"/>
    </row>
    <row r="68" ht="15.75" customHeight="1"/>
    <row r="69" ht="15.75" customHeight="1">
      <c r="B69" s="28" t="s">
        <v>151</v>
      </c>
    </row>
    <row r="70" ht="15.75" customHeight="1"/>
    <row r="71" ht="15.75" customHeight="1">
      <c r="A71" s="28" t="str">
        <f>'COSTOS '!B5</f>
        <v>harina</v>
      </c>
      <c r="B71" s="39">
        <v>6250.0</v>
      </c>
      <c r="C71" s="41" t="s">
        <v>75</v>
      </c>
      <c r="D71" s="42">
        <v>1.0</v>
      </c>
      <c r="E71" s="43">
        <f>B71*'COSTOS '!E5</f>
        <v>22375</v>
      </c>
      <c r="F71" s="39" t="s">
        <v>31</v>
      </c>
      <c r="G71" s="36"/>
      <c r="H71" s="44">
        <f>SUM(B71:B98)</f>
        <v>12312.5</v>
      </c>
    </row>
    <row r="72" ht="15.75" customHeight="1">
      <c r="A72" s="28" t="str">
        <f>'COSTOS '!B6</f>
        <v>azucar</v>
      </c>
      <c r="B72" s="39">
        <f>B71*D72</f>
        <v>1000</v>
      </c>
      <c r="C72" s="41" t="s">
        <v>75</v>
      </c>
      <c r="D72" s="42">
        <v>0.16</v>
      </c>
      <c r="E72" s="43">
        <f>B72*'COSTOS '!E6</f>
        <v>4200</v>
      </c>
      <c r="F72" s="39" t="s">
        <v>33</v>
      </c>
      <c r="G72" s="36"/>
      <c r="H72" s="48">
        <v>250.0</v>
      </c>
    </row>
    <row r="73" ht="15.75" customHeight="1">
      <c r="A73" s="28" t="str">
        <f>'COSTOS '!B7</f>
        <v>huevos </v>
      </c>
      <c r="B73" s="39">
        <f>B71*D73</f>
        <v>500</v>
      </c>
      <c r="C73" s="41" t="s">
        <v>75</v>
      </c>
      <c r="D73" s="42">
        <v>0.08</v>
      </c>
      <c r="E73" s="43">
        <f>B73*'COSTOS '!E7</f>
        <v>6222.222222</v>
      </c>
      <c r="F73" s="39" t="s">
        <v>36</v>
      </c>
      <c r="G73" s="36"/>
      <c r="H73" s="48">
        <f>H82/36</f>
        <v>33.33333333</v>
      </c>
    </row>
    <row r="74" ht="15.75" customHeight="1">
      <c r="A74" s="28" t="str">
        <f>'COSTOS '!B8</f>
        <v>sal</v>
      </c>
      <c r="B74" s="39">
        <f>B71*D74</f>
        <v>125</v>
      </c>
      <c r="C74" s="41" t="s">
        <v>75</v>
      </c>
      <c r="D74" s="42">
        <v>0.02</v>
      </c>
      <c r="E74" s="43">
        <f>B74*'COSTOS '!E8</f>
        <v>234.375</v>
      </c>
      <c r="F74" s="39" t="s">
        <v>38</v>
      </c>
      <c r="G74" s="36"/>
      <c r="H74" s="44">
        <f>H71/H73</f>
        <v>369.375</v>
      </c>
    </row>
    <row r="75" ht="15.75" customHeight="1">
      <c r="A75" s="28" t="str">
        <f>'COSTOS '!B9</f>
        <v>mantequilla AT</v>
      </c>
      <c r="B75" s="39">
        <f>B71*D75</f>
        <v>1000</v>
      </c>
      <c r="C75" s="41" t="s">
        <v>75</v>
      </c>
      <c r="D75" s="42">
        <v>0.16</v>
      </c>
      <c r="E75" s="43">
        <f>B75*'COSTOS '!E9</f>
        <v>8000</v>
      </c>
      <c r="F75" s="39" t="s">
        <v>40</v>
      </c>
      <c r="G75" s="36"/>
      <c r="H75" s="44">
        <f>H74*H72</f>
        <v>92343.75</v>
      </c>
    </row>
    <row r="76" ht="15.75" customHeight="1">
      <c r="A76" s="28" t="str">
        <f>'COSTOS '!B10</f>
        <v>ecencia </v>
      </c>
      <c r="B76" s="39">
        <f>B71*D76</f>
        <v>125</v>
      </c>
      <c r="C76" s="41" t="s">
        <v>75</v>
      </c>
      <c r="D76" s="42">
        <v>0.02</v>
      </c>
      <c r="E76" s="43">
        <f>B76*'COSTOS '!E10</f>
        <v>1000</v>
      </c>
      <c r="F76" s="39" t="s">
        <v>43</v>
      </c>
      <c r="G76" s="36"/>
      <c r="H76" s="48">
        <f>SUM(E71:E98)</f>
        <v>55266.99306</v>
      </c>
    </row>
    <row r="77" ht="15.75" customHeight="1">
      <c r="A77" s="28" t="str">
        <f>'COSTOS '!B11</f>
        <v>levadura</v>
      </c>
      <c r="B77" s="39">
        <f>B71*D77</f>
        <v>187.5</v>
      </c>
      <c r="C77" s="41" t="s">
        <v>75</v>
      </c>
      <c r="D77" s="42">
        <v>0.03</v>
      </c>
      <c r="E77" s="43">
        <f>B77*'COSTOS '!E11</f>
        <v>1987.5</v>
      </c>
      <c r="F77" s="39" t="s">
        <v>45</v>
      </c>
      <c r="G77" s="36"/>
      <c r="H77" s="48">
        <v>8000.0</v>
      </c>
    </row>
    <row r="78" ht="15.75" customHeight="1">
      <c r="A78" s="28" t="str">
        <f>'COSTOS '!B12</f>
        <v>queso</v>
      </c>
      <c r="B78" s="39">
        <f>B71*D78</f>
        <v>0</v>
      </c>
      <c r="C78" s="41" t="s">
        <v>75</v>
      </c>
      <c r="D78" s="42">
        <v>0.0</v>
      </c>
      <c r="E78" s="43">
        <f>B78*'COSTOS '!E12</f>
        <v>0</v>
      </c>
      <c r="F78" s="39" t="s">
        <v>47</v>
      </c>
      <c r="G78" s="36"/>
      <c r="H78" s="48">
        <v>4000.0</v>
      </c>
    </row>
    <row r="79" ht="15.75" customHeight="1">
      <c r="A79" s="28" t="str">
        <f>'COSTOS '!B13</f>
        <v>color</v>
      </c>
      <c r="B79" s="39">
        <f>B71*D79</f>
        <v>0</v>
      </c>
      <c r="C79" s="41" t="s">
        <v>75</v>
      </c>
      <c r="D79" s="42">
        <v>0.0</v>
      </c>
      <c r="E79" s="43">
        <f>B79*'COSTOS '!E13</f>
        <v>0</v>
      </c>
      <c r="F79" s="39" t="s">
        <v>49</v>
      </c>
      <c r="G79" s="36"/>
      <c r="H79" s="48">
        <v>2000.0</v>
      </c>
    </row>
    <row r="80" ht="15.75" customHeight="1">
      <c r="A80" s="28" t="str">
        <f>'COSTOS '!B14</f>
        <v>arequipe </v>
      </c>
      <c r="B80" s="39">
        <f>B71*D80</f>
        <v>0</v>
      </c>
      <c r="C80" s="41" t="s">
        <v>75</v>
      </c>
      <c r="D80" s="42">
        <v>0.0</v>
      </c>
      <c r="E80" s="43">
        <f>B80*'COSTOS '!E14</f>
        <v>0</v>
      </c>
      <c r="F80" s="39" t="s">
        <v>51</v>
      </c>
      <c r="G80" s="36"/>
      <c r="H80" s="48">
        <v>8000.0</v>
      </c>
    </row>
    <row r="81" ht="15.75" customHeight="1">
      <c r="A81" s="28" t="str">
        <f>'COSTOS '!B15</f>
        <v>fecula </v>
      </c>
      <c r="B81" s="39">
        <f>B71*D81</f>
        <v>0</v>
      </c>
      <c r="C81" s="41" t="s">
        <v>75</v>
      </c>
      <c r="D81" s="42">
        <v>0.0</v>
      </c>
      <c r="E81" s="43">
        <f>B81*'COSTOS '!E15</f>
        <v>0</v>
      </c>
      <c r="F81" s="39" t="s">
        <v>53</v>
      </c>
      <c r="G81" s="36"/>
      <c r="H81" s="48">
        <f>H75-H76-H77-H78-H79-H80</f>
        <v>15076.75694</v>
      </c>
    </row>
    <row r="82" ht="15.75" customHeight="1">
      <c r="A82" s="28" t="str">
        <f>'COSTOS '!B16</f>
        <v>hojaldre</v>
      </c>
      <c r="B82" s="39">
        <f>B71*D82</f>
        <v>1000</v>
      </c>
      <c r="C82" s="41" t="s">
        <v>75</v>
      </c>
      <c r="D82" s="42">
        <v>0.16</v>
      </c>
      <c r="E82" s="43">
        <f>B82*'COSTOS '!E16</f>
        <v>10933.33333</v>
      </c>
      <c r="F82" s="39" t="s">
        <v>79</v>
      </c>
      <c r="G82" s="36"/>
      <c r="H82" s="48">
        <v>1200.0</v>
      </c>
    </row>
    <row r="83" ht="15.75" customHeight="1">
      <c r="A83" s="28" t="str">
        <f>'COSTOS '!B17</f>
        <v>leche en polvo</v>
      </c>
      <c r="B83" s="39">
        <f>B71*D83</f>
        <v>0</v>
      </c>
      <c r="C83" s="41" t="s">
        <v>75</v>
      </c>
      <c r="D83" s="42">
        <v>0.0</v>
      </c>
      <c r="E83" s="43">
        <f>B83*'COSTOS '!E17</f>
        <v>0</v>
      </c>
    </row>
    <row r="84" ht="15.75" customHeight="1">
      <c r="A84" s="28" t="str">
        <f>'COSTOS '!B18</f>
        <v>manq de vaca </v>
      </c>
      <c r="B84" s="39">
        <f>B71*D84</f>
        <v>0</v>
      </c>
      <c r="C84" s="41" t="s">
        <v>75</v>
      </c>
      <c r="D84" s="42">
        <v>0.0</v>
      </c>
      <c r="E84" s="43">
        <f>B84*'COSTOS '!E18</f>
        <v>0</v>
      </c>
    </row>
    <row r="85" ht="15.75" customHeight="1">
      <c r="A85" s="28" t="str">
        <f>'COSTOS '!B19</f>
        <v>polvo de horniar</v>
      </c>
      <c r="B85" s="39">
        <f>B71*D85</f>
        <v>0</v>
      </c>
      <c r="C85" s="41" t="s">
        <v>75</v>
      </c>
      <c r="D85" s="42">
        <v>0.0</v>
      </c>
      <c r="E85" s="43">
        <f>B85*'COSTOS '!E19</f>
        <v>0</v>
      </c>
      <c r="F85" s="39" t="s">
        <v>152</v>
      </c>
    </row>
    <row r="86" ht="15.75" customHeight="1">
      <c r="A86" s="28" t="str">
        <f>'COSTOS '!B20</f>
        <v>colmaiz </v>
      </c>
      <c r="B86" s="39">
        <f>B71*D86</f>
        <v>0</v>
      </c>
      <c r="C86" s="41" t="s">
        <v>75</v>
      </c>
      <c r="D86" s="42">
        <v>0.0</v>
      </c>
      <c r="E86" s="43">
        <f>B86*'COSTOS '!E20</f>
        <v>0</v>
      </c>
    </row>
    <row r="87" ht="15.75" customHeight="1">
      <c r="A87" s="28" t="str">
        <f>'COSTOS '!B21</f>
        <v>promaza</v>
      </c>
      <c r="B87" s="39">
        <f>B71*D87</f>
        <v>0</v>
      </c>
      <c r="C87" s="41" t="s">
        <v>75</v>
      </c>
      <c r="D87" s="42">
        <v>0.0</v>
      </c>
      <c r="E87" s="43">
        <f>B87*'COSTOS '!E21</f>
        <v>0</v>
      </c>
    </row>
    <row r="88" ht="15.75" customHeight="1">
      <c r="A88" s="28" t="str">
        <f>'COSTOS '!B22</f>
        <v>azucar en polvo</v>
      </c>
      <c r="B88" s="39">
        <f>B71*D88</f>
        <v>0</v>
      </c>
      <c r="C88" s="41" t="s">
        <v>75</v>
      </c>
      <c r="D88" s="42">
        <v>0.0</v>
      </c>
      <c r="E88" s="43">
        <f>B88*'COSTOS '!E22</f>
        <v>0</v>
      </c>
    </row>
    <row r="89" ht="15.75" customHeight="1">
      <c r="A89" s="28" t="str">
        <f>'COSTOS '!B23</f>
        <v>almidon</v>
      </c>
      <c r="B89" s="39">
        <f>B71*D89</f>
        <v>0</v>
      </c>
      <c r="C89" s="41" t="s">
        <v>75</v>
      </c>
      <c r="D89" s="42">
        <v>0.0</v>
      </c>
      <c r="E89" s="43">
        <f>B89*'COSTOS '!E23</f>
        <v>0</v>
      </c>
    </row>
    <row r="90" ht="15.75" customHeight="1">
      <c r="A90" s="28" t="str">
        <f>'COSTOS '!B24</f>
        <v>aceite</v>
      </c>
      <c r="B90" s="39">
        <f>B71*D90</f>
        <v>0</v>
      </c>
      <c r="C90" s="41" t="s">
        <v>75</v>
      </c>
      <c r="D90" s="42">
        <v>0.0</v>
      </c>
      <c r="E90" s="43">
        <f>B90*'COSTOS '!E24</f>
        <v>0</v>
      </c>
    </row>
    <row r="91" ht="15.75" customHeight="1">
      <c r="A91" s="28" t="str">
        <f>'COSTOS '!B25</f>
        <v>uvas pasa</v>
      </c>
      <c r="B91" s="39">
        <f>B71*D91</f>
        <v>0</v>
      </c>
      <c r="C91" s="41" t="s">
        <v>75</v>
      </c>
      <c r="D91" s="42">
        <v>0.0</v>
      </c>
      <c r="E91" s="43">
        <f>B91*'COSTOS '!E25</f>
        <v>0</v>
      </c>
    </row>
    <row r="92" ht="15.75" customHeight="1">
      <c r="A92" s="28" t="str">
        <f>'COSTOS '!B26</f>
        <v>frurta crista</v>
      </c>
      <c r="B92" s="39">
        <f>B71*D92</f>
        <v>0</v>
      </c>
      <c r="C92" s="41" t="s">
        <v>75</v>
      </c>
      <c r="D92" s="42">
        <v>0.0</v>
      </c>
      <c r="E92" s="43">
        <f>B92*'COSTOS '!E26</f>
        <v>0</v>
      </c>
    </row>
    <row r="93" ht="15.75" customHeight="1">
      <c r="A93" s="28" t="str">
        <f>'COSTOS '!B27</f>
        <v>nuez brasil</v>
      </c>
      <c r="B93" s="39">
        <f>B71*D93</f>
        <v>0</v>
      </c>
      <c r="C93" s="41" t="s">
        <v>75</v>
      </c>
      <c r="D93" s="42">
        <v>0.0</v>
      </c>
      <c r="E93" s="43">
        <f>B93*'COSTOS '!E27</f>
        <v>0</v>
      </c>
    </row>
    <row r="94" ht="15.75" customHeight="1">
      <c r="A94" s="28" t="str">
        <f>'COSTOS '!B28</f>
        <v>coco dulce</v>
      </c>
      <c r="B94" s="39">
        <f>B71*D94</f>
        <v>0</v>
      </c>
      <c r="C94" s="41" t="s">
        <v>75</v>
      </c>
      <c r="D94" s="42">
        <v>0.0</v>
      </c>
      <c r="E94" s="43">
        <f>B94*'COSTOS '!E28</f>
        <v>0</v>
      </c>
    </row>
    <row r="95" ht="15.75" customHeight="1">
      <c r="A95" s="28" t="str">
        <f>'COSTOS '!B29</f>
        <v>coco simple </v>
      </c>
      <c r="B95" s="39">
        <f>B71*D95</f>
        <v>0</v>
      </c>
      <c r="C95" s="41" t="s">
        <v>75</v>
      </c>
      <c r="D95" s="42">
        <v>0.0</v>
      </c>
      <c r="E95" s="43">
        <f>B95*'COSTOS '!E29</f>
        <v>0</v>
      </c>
    </row>
    <row r="96" ht="15.75" customHeight="1">
      <c r="A96" s="28" t="str">
        <f>'COSTOS '!B30</f>
        <v>scernido</v>
      </c>
      <c r="B96" s="39">
        <f>B71*D96</f>
        <v>0</v>
      </c>
      <c r="C96" s="41" t="s">
        <v>75</v>
      </c>
      <c r="D96" s="42">
        <v>0.0</v>
      </c>
      <c r="E96" s="43">
        <f>B96*'COSTOS '!E30</f>
        <v>0</v>
      </c>
    </row>
    <row r="97" ht="15.75" customHeight="1">
      <c r="A97" s="28" t="str">
        <f>'COSTOS '!B31</f>
        <v>otros</v>
      </c>
      <c r="B97" s="39">
        <f>B71*D97</f>
        <v>62.5</v>
      </c>
      <c r="C97" s="41" t="s">
        <v>75</v>
      </c>
      <c r="D97" s="42">
        <v>0.01</v>
      </c>
      <c r="E97" s="43">
        <f>B97*'COSTOS '!E31</f>
        <v>312.5</v>
      </c>
    </row>
    <row r="98" ht="15.75" customHeight="1">
      <c r="A98" s="28" t="str">
        <f>'COSTOS '!B32</f>
        <v>agua</v>
      </c>
      <c r="B98" s="39">
        <f>B71*D98</f>
        <v>2062.5</v>
      </c>
      <c r="C98" s="41" t="s">
        <v>75</v>
      </c>
      <c r="D98" s="42">
        <v>0.33</v>
      </c>
      <c r="E98" s="43">
        <f>B98*'COSTOS '!E32</f>
        <v>2.0625</v>
      </c>
    </row>
    <row r="99" ht="15.75" customHeight="1"/>
    <row r="100" ht="15.75" customHeight="1">
      <c r="B100" s="28" t="s">
        <v>177</v>
      </c>
    </row>
    <row r="101" ht="15.75" customHeight="1"/>
    <row r="102" ht="15.75" customHeight="1">
      <c r="A102" s="28" t="str">
        <f>'COSTOS '!B5</f>
        <v>harina</v>
      </c>
      <c r="B102" s="40">
        <v>7000.0</v>
      </c>
      <c r="C102" s="41" t="s">
        <v>75</v>
      </c>
      <c r="D102" s="42">
        <v>1.0</v>
      </c>
      <c r="E102" s="43">
        <f>B102*'COSTOS '!E5</f>
        <v>25060</v>
      </c>
      <c r="F102" s="39" t="s">
        <v>31</v>
      </c>
      <c r="G102" s="36"/>
      <c r="H102" s="44">
        <f>SUM(B102:B129)</f>
        <v>16450</v>
      </c>
    </row>
    <row r="103" ht="15.75" customHeight="1">
      <c r="A103" s="28" t="str">
        <f>'COSTOS '!B6</f>
        <v>azucar</v>
      </c>
      <c r="B103" s="39">
        <f>B102*D103</f>
        <v>1120</v>
      </c>
      <c r="C103" s="41" t="s">
        <v>75</v>
      </c>
      <c r="D103" s="42">
        <v>0.16</v>
      </c>
      <c r="E103" s="43">
        <f>B103*'COSTOS '!E6</f>
        <v>4704</v>
      </c>
      <c r="F103" s="39" t="s">
        <v>33</v>
      </c>
      <c r="G103" s="36"/>
      <c r="H103" s="48">
        <v>250.0</v>
      </c>
    </row>
    <row r="104" ht="15.75" customHeight="1">
      <c r="A104" s="28" t="str">
        <f>'COSTOS '!B7</f>
        <v>huevos </v>
      </c>
      <c r="B104" s="39">
        <f>B102*D104</f>
        <v>1120</v>
      </c>
      <c r="C104" s="41" t="s">
        <v>75</v>
      </c>
      <c r="D104" s="42">
        <v>0.16</v>
      </c>
      <c r="E104" s="43">
        <f>B104*'COSTOS '!E7</f>
        <v>13937.77778</v>
      </c>
      <c r="F104" s="39" t="s">
        <v>36</v>
      </c>
      <c r="G104" s="36"/>
      <c r="H104" s="48">
        <f>H113/36</f>
        <v>33.33333333</v>
      </c>
    </row>
    <row r="105" ht="15.75" customHeight="1">
      <c r="A105" s="28" t="str">
        <f>'COSTOS '!B8</f>
        <v>sal</v>
      </c>
      <c r="B105" s="39">
        <f>B102*D105</f>
        <v>140</v>
      </c>
      <c r="C105" s="41" t="s">
        <v>75</v>
      </c>
      <c r="D105" s="42">
        <v>0.02</v>
      </c>
      <c r="E105" s="43">
        <f>B105*'COSTOS '!E8</f>
        <v>262.5</v>
      </c>
      <c r="F105" s="39" t="s">
        <v>38</v>
      </c>
      <c r="G105" s="36"/>
      <c r="H105" s="44">
        <f>H102/H104</f>
        <v>493.5</v>
      </c>
    </row>
    <row r="106" ht="15.75" customHeight="1">
      <c r="A106" s="28" t="str">
        <f>'COSTOS '!B9</f>
        <v>mantequilla AT</v>
      </c>
      <c r="B106" s="39">
        <f>B102*D106</f>
        <v>2240</v>
      </c>
      <c r="C106" s="41" t="s">
        <v>75</v>
      </c>
      <c r="D106" s="42">
        <v>0.32</v>
      </c>
      <c r="E106" s="43">
        <f>B106*'COSTOS '!E9</f>
        <v>17920</v>
      </c>
      <c r="F106" s="39" t="s">
        <v>40</v>
      </c>
      <c r="G106" s="36"/>
      <c r="H106" s="44">
        <f>H105*H103</f>
        <v>123375</v>
      </c>
    </row>
    <row r="107" ht="15.75" customHeight="1">
      <c r="A107" s="28" t="str">
        <f>'COSTOS '!B10</f>
        <v>ecencia </v>
      </c>
      <c r="B107" s="39">
        <f>B102*D107</f>
        <v>140</v>
      </c>
      <c r="C107" s="41" t="s">
        <v>75</v>
      </c>
      <c r="D107" s="42">
        <v>0.02</v>
      </c>
      <c r="E107" s="43">
        <f>B107*'COSTOS '!E10</f>
        <v>1120</v>
      </c>
      <c r="F107" s="39" t="s">
        <v>43</v>
      </c>
      <c r="G107" s="36"/>
      <c r="H107" s="48">
        <f>SUM(E102:E129)</f>
        <v>90619.25444</v>
      </c>
    </row>
    <row r="108" ht="15.75" customHeight="1">
      <c r="A108" s="28" t="str">
        <f>'COSTOS '!B11</f>
        <v>levadura</v>
      </c>
      <c r="B108" s="39">
        <f>B102*D108</f>
        <v>420</v>
      </c>
      <c r="C108" s="41" t="s">
        <v>75</v>
      </c>
      <c r="D108" s="42">
        <v>0.06</v>
      </c>
      <c r="E108" s="43">
        <f>B108*'COSTOS '!E11</f>
        <v>4452</v>
      </c>
      <c r="F108" s="39" t="s">
        <v>45</v>
      </c>
      <c r="G108" s="36"/>
      <c r="H108" s="48">
        <v>8000.0</v>
      </c>
    </row>
    <row r="109" ht="15.75" customHeight="1">
      <c r="A109" s="28" t="str">
        <f>'COSTOS '!B12</f>
        <v>queso</v>
      </c>
      <c r="B109" s="39">
        <f>B102*D109</f>
        <v>0</v>
      </c>
      <c r="C109" s="41" t="s">
        <v>75</v>
      </c>
      <c r="D109" s="42">
        <v>0.0</v>
      </c>
      <c r="E109" s="43">
        <f>B109*'COSTOS '!E12</f>
        <v>0</v>
      </c>
      <c r="F109" s="39" t="s">
        <v>47</v>
      </c>
      <c r="G109" s="36"/>
      <c r="H109" s="48">
        <v>4000.0</v>
      </c>
    </row>
    <row r="110" ht="15.75" customHeight="1">
      <c r="A110" s="28" t="str">
        <f>'COSTOS '!B13</f>
        <v>color</v>
      </c>
      <c r="B110" s="39">
        <f>B102*D110</f>
        <v>70</v>
      </c>
      <c r="C110" s="41" t="s">
        <v>75</v>
      </c>
      <c r="D110" s="42">
        <v>0.01</v>
      </c>
      <c r="E110" s="43">
        <f>B110*'COSTOS '!E13</f>
        <v>1722</v>
      </c>
      <c r="F110" s="39" t="s">
        <v>49</v>
      </c>
      <c r="G110" s="36"/>
      <c r="H110" s="48">
        <v>2000.0</v>
      </c>
    </row>
    <row r="111" ht="15.75" customHeight="1">
      <c r="A111" s="28" t="str">
        <f>'COSTOS '!B14</f>
        <v>arequipe </v>
      </c>
      <c r="B111" s="39">
        <f>B102*D111</f>
        <v>0</v>
      </c>
      <c r="C111" s="41" t="s">
        <v>75</v>
      </c>
      <c r="D111" s="42">
        <v>0.0</v>
      </c>
      <c r="E111" s="43">
        <f>B111*'COSTOS '!E14</f>
        <v>0</v>
      </c>
      <c r="F111" s="39" t="s">
        <v>51</v>
      </c>
      <c r="G111" s="36"/>
      <c r="H111" s="48">
        <v>8000.0</v>
      </c>
    </row>
    <row r="112" ht="15.75" customHeight="1">
      <c r="A112" s="28" t="str">
        <f>'COSTOS '!B15</f>
        <v>fecula </v>
      </c>
      <c r="B112" s="39">
        <f>B102*D112</f>
        <v>0</v>
      </c>
      <c r="C112" s="41" t="s">
        <v>75</v>
      </c>
      <c r="D112" s="42">
        <v>0.0</v>
      </c>
      <c r="E112" s="43">
        <f>B112*'COSTOS '!E15</f>
        <v>0</v>
      </c>
      <c r="F112" s="39" t="s">
        <v>53</v>
      </c>
      <c r="G112" s="36"/>
      <c r="H112" s="48">
        <f>H106-H107-H108-H109-H110-H111</f>
        <v>10755.74556</v>
      </c>
    </row>
    <row r="113" ht="15.75" customHeight="1">
      <c r="A113" s="28" t="str">
        <f>'COSTOS '!B16</f>
        <v>hojaldre</v>
      </c>
      <c r="B113" s="39">
        <f>B102*D113</f>
        <v>0</v>
      </c>
      <c r="C113" s="41" t="s">
        <v>75</v>
      </c>
      <c r="D113" s="42">
        <v>0.0</v>
      </c>
      <c r="E113" s="43">
        <f>B113*'COSTOS '!E16</f>
        <v>0</v>
      </c>
      <c r="F113" s="39" t="s">
        <v>79</v>
      </c>
      <c r="G113" s="36"/>
      <c r="H113" s="48">
        <v>1200.0</v>
      </c>
    </row>
    <row r="114" ht="15.75" customHeight="1">
      <c r="A114" s="28" t="str">
        <f>'COSTOS '!B17</f>
        <v>leche en polvo</v>
      </c>
      <c r="B114" s="39">
        <f>B102*D114</f>
        <v>1120</v>
      </c>
      <c r="C114" s="41" t="s">
        <v>75</v>
      </c>
      <c r="D114" s="42">
        <v>0.16</v>
      </c>
      <c r="E114" s="43">
        <f>B114*'COSTOS '!E17</f>
        <v>18816</v>
      </c>
    </row>
    <row r="115" ht="15.75" customHeight="1">
      <c r="A115" s="28" t="str">
        <f>'COSTOS '!B18</f>
        <v>manq de vaca </v>
      </c>
      <c r="B115" s="39">
        <f>B102*D115</f>
        <v>0</v>
      </c>
      <c r="C115" s="41" t="s">
        <v>75</v>
      </c>
      <c r="D115" s="42">
        <v>0.0</v>
      </c>
      <c r="E115" s="43">
        <f>B115*'COSTOS '!E18</f>
        <v>0</v>
      </c>
    </row>
    <row r="116" ht="15.75" customHeight="1">
      <c r="A116" s="28" t="str">
        <f>'COSTOS '!B19</f>
        <v>polvo de horniar</v>
      </c>
      <c r="B116" s="39">
        <f>B102*D116</f>
        <v>140</v>
      </c>
      <c r="C116" s="41" t="s">
        <v>75</v>
      </c>
      <c r="D116" s="42">
        <v>0.02</v>
      </c>
      <c r="E116" s="43">
        <f>B116*'COSTOS '!E19</f>
        <v>1456</v>
      </c>
    </row>
    <row r="117" ht="15.75" customHeight="1">
      <c r="A117" s="28" t="str">
        <f>'COSTOS '!B20</f>
        <v>colmaiz </v>
      </c>
      <c r="B117" s="39">
        <f>B102*D117</f>
        <v>0</v>
      </c>
      <c r="C117" s="41" t="s">
        <v>75</v>
      </c>
      <c r="D117" s="42">
        <v>0.0</v>
      </c>
      <c r="E117" s="43">
        <f>B117*'COSTOS '!E20</f>
        <v>0</v>
      </c>
      <c r="F117" s="28" t="s">
        <v>178</v>
      </c>
    </row>
    <row r="118" ht="15.75" customHeight="1">
      <c r="A118" s="28" t="str">
        <f>'COSTOS '!B21</f>
        <v>promaza</v>
      </c>
      <c r="B118" s="39">
        <f>B102*D118</f>
        <v>560</v>
      </c>
      <c r="C118" s="41" t="s">
        <v>75</v>
      </c>
      <c r="D118" s="42">
        <v>0.08</v>
      </c>
      <c r="E118" s="43">
        <f>B118*'COSTOS '!E21</f>
        <v>816.6666667</v>
      </c>
    </row>
    <row r="119" ht="15.75" customHeight="1">
      <c r="A119" s="28" t="str">
        <f>'COSTOS '!B22</f>
        <v>azucar en polvo</v>
      </c>
      <c r="B119" s="39">
        <f>B102*D119</f>
        <v>0</v>
      </c>
      <c r="C119" s="41" t="s">
        <v>75</v>
      </c>
      <c r="D119" s="42">
        <v>0.0</v>
      </c>
      <c r="E119" s="43">
        <f>B119*'COSTOS '!E22</f>
        <v>0</v>
      </c>
    </row>
    <row r="120" ht="15.75" customHeight="1">
      <c r="A120" s="28" t="str">
        <f>'COSTOS '!B23</f>
        <v>almidon</v>
      </c>
      <c r="B120" s="39">
        <f>B102*D120</f>
        <v>0</v>
      </c>
      <c r="C120" s="41" t="s">
        <v>75</v>
      </c>
      <c r="D120" s="42">
        <v>0.0</v>
      </c>
      <c r="E120" s="43">
        <f>B120*'COSTOS '!E23</f>
        <v>0</v>
      </c>
    </row>
    <row r="121" ht="15.75" customHeight="1">
      <c r="A121" s="28" t="str">
        <f>'COSTOS '!B24</f>
        <v>aceite</v>
      </c>
      <c r="B121" s="39">
        <f>B102*D121</f>
        <v>0</v>
      </c>
      <c r="C121" s="41" t="s">
        <v>75</v>
      </c>
      <c r="D121" s="42">
        <v>0.0</v>
      </c>
      <c r="E121" s="43">
        <f>B121*'COSTOS '!E24</f>
        <v>0</v>
      </c>
    </row>
    <row r="122" ht="15.75" customHeight="1">
      <c r="A122" s="28" t="str">
        <f>'COSTOS '!B25</f>
        <v>uvas pasa</v>
      </c>
      <c r="B122" s="39">
        <f>B102*D122</f>
        <v>0</v>
      </c>
      <c r="C122" s="41" t="s">
        <v>75</v>
      </c>
      <c r="D122" s="42">
        <v>0.0</v>
      </c>
      <c r="E122" s="43">
        <f>B122*'COSTOS '!E25</f>
        <v>0</v>
      </c>
    </row>
    <row r="123" ht="15.75" customHeight="1">
      <c r="A123" s="28" t="str">
        <f>'COSTOS '!B26</f>
        <v>frurta crista</v>
      </c>
      <c r="B123" s="39">
        <f>B102*D123</f>
        <v>0</v>
      </c>
      <c r="C123" s="41" t="s">
        <v>75</v>
      </c>
      <c r="D123" s="42">
        <v>0.0</v>
      </c>
      <c r="E123" s="43">
        <f>B123*'COSTOS '!E26</f>
        <v>0</v>
      </c>
    </row>
    <row r="124" ht="15.75" customHeight="1">
      <c r="A124" s="28" t="str">
        <f>'COSTOS '!B27</f>
        <v>nuez brasil</v>
      </c>
      <c r="B124" s="39">
        <f>B102*D124</f>
        <v>0</v>
      </c>
      <c r="C124" s="41" t="s">
        <v>75</v>
      </c>
      <c r="D124" s="42">
        <v>0.0</v>
      </c>
      <c r="E124" s="43">
        <f>B124*'COSTOS '!E27</f>
        <v>0</v>
      </c>
    </row>
    <row r="125" ht="15.75" customHeight="1">
      <c r="A125" s="28" t="str">
        <f>'COSTOS '!B28</f>
        <v>coco dulce</v>
      </c>
      <c r="B125" s="39">
        <f>B102*D125</f>
        <v>0</v>
      </c>
      <c r="C125" s="41" t="s">
        <v>75</v>
      </c>
      <c r="D125" s="42">
        <v>0.0</v>
      </c>
      <c r="E125" s="43">
        <f>B125*'COSTOS '!E28</f>
        <v>0</v>
      </c>
    </row>
    <row r="126" ht="15.75" customHeight="1">
      <c r="A126" s="28" t="str">
        <f>'COSTOS '!B29</f>
        <v>coco simple </v>
      </c>
      <c r="B126" s="39">
        <f>B102*D126</f>
        <v>0</v>
      </c>
      <c r="C126" s="41" t="s">
        <v>75</v>
      </c>
      <c r="D126" s="42">
        <v>0.0</v>
      </c>
      <c r="E126" s="43">
        <f>B126*'COSTOS '!E29</f>
        <v>0</v>
      </c>
    </row>
    <row r="127" ht="15.75" customHeight="1">
      <c r="A127" s="28" t="str">
        <f>'COSTOS '!B30</f>
        <v>scernido</v>
      </c>
      <c r="B127" s="39">
        <f>B102*D127</f>
        <v>0</v>
      </c>
      <c r="C127" s="41" t="s">
        <v>75</v>
      </c>
      <c r="D127" s="42">
        <v>0.0</v>
      </c>
      <c r="E127" s="43">
        <f>B127*'COSTOS '!E30</f>
        <v>0</v>
      </c>
    </row>
    <row r="128" ht="15.75" customHeight="1">
      <c r="A128" s="28" t="str">
        <f>'COSTOS '!B31</f>
        <v>otros</v>
      </c>
      <c r="B128" s="39">
        <f>B102*D128</f>
        <v>70</v>
      </c>
      <c r="C128" s="41" t="s">
        <v>75</v>
      </c>
      <c r="D128" s="42">
        <v>0.01</v>
      </c>
      <c r="E128" s="43">
        <f>B128*'COSTOS '!E31</f>
        <v>350</v>
      </c>
    </row>
    <row r="129" ht="15.75" customHeight="1">
      <c r="A129" s="28" t="s">
        <v>179</v>
      </c>
      <c r="B129" s="39">
        <f>B102*D129</f>
        <v>2310</v>
      </c>
      <c r="C129" s="41" t="s">
        <v>75</v>
      </c>
      <c r="D129" s="42">
        <v>0.33</v>
      </c>
      <c r="E129" s="43">
        <f>B129*'COSTOS '!E32</f>
        <v>2.31</v>
      </c>
    </row>
    <row r="130" ht="15.75" customHeight="1"/>
    <row r="131" ht="15.75" customHeight="1"/>
    <row r="132" ht="15.75" customHeight="1">
      <c r="B132" s="28" t="s">
        <v>13</v>
      </c>
    </row>
    <row r="133" ht="15.75" customHeight="1"/>
    <row r="134" ht="15.75" customHeight="1">
      <c r="A134" s="28" t="str">
        <f>'COSTOS '!B5</f>
        <v>harina</v>
      </c>
      <c r="B134" s="39">
        <v>3125.0</v>
      </c>
      <c r="C134" s="41" t="s">
        <v>75</v>
      </c>
      <c r="D134" s="42">
        <v>1.0</v>
      </c>
      <c r="E134" s="43">
        <f>B134*'COSTOS '!E5</f>
        <v>11187.5</v>
      </c>
      <c r="F134" s="39" t="s">
        <v>31</v>
      </c>
      <c r="G134" s="36"/>
      <c r="H134" s="44">
        <f>SUM(B134:B161)</f>
        <v>6812.5</v>
      </c>
    </row>
    <row r="135" ht="15.75" customHeight="1">
      <c r="A135" s="28" t="str">
        <f>'COSTOS '!B6</f>
        <v>azucar</v>
      </c>
      <c r="B135" s="39">
        <f>B134*D135</f>
        <v>500</v>
      </c>
      <c r="C135" s="41" t="s">
        <v>75</v>
      </c>
      <c r="D135" s="42">
        <v>0.16</v>
      </c>
      <c r="E135" s="43">
        <f>B135*'COSTOS '!E6</f>
        <v>2100</v>
      </c>
      <c r="F135" s="39" t="s">
        <v>33</v>
      </c>
      <c r="G135" s="36"/>
      <c r="H135" s="48">
        <v>250.0</v>
      </c>
    </row>
    <row r="136" ht="15.75" customHeight="1">
      <c r="A136" s="28" t="str">
        <f>'COSTOS '!B7</f>
        <v>huevos </v>
      </c>
      <c r="B136" s="39">
        <f>B134*D136</f>
        <v>343.75</v>
      </c>
      <c r="C136" s="41" t="s">
        <v>75</v>
      </c>
      <c r="D136" s="42">
        <v>0.11</v>
      </c>
      <c r="E136" s="43">
        <f>B136*'COSTOS '!E7</f>
        <v>4277.777778</v>
      </c>
      <c r="F136" s="39" t="s">
        <v>36</v>
      </c>
      <c r="G136" s="36"/>
      <c r="H136" s="48">
        <f>H145/36</f>
        <v>33.33333333</v>
      </c>
    </row>
    <row r="137" ht="15.75" customHeight="1">
      <c r="A137" s="28" t="str">
        <f>'COSTOS '!B8</f>
        <v>sal</v>
      </c>
      <c r="B137" s="39">
        <f>B134*D137</f>
        <v>62.5</v>
      </c>
      <c r="C137" s="41" t="s">
        <v>75</v>
      </c>
      <c r="D137" s="42">
        <v>0.02</v>
      </c>
      <c r="E137" s="43">
        <f>B137*'COSTOS '!E8</f>
        <v>117.1875</v>
      </c>
      <c r="F137" s="39" t="s">
        <v>38</v>
      </c>
      <c r="G137" s="36"/>
      <c r="H137" s="44">
        <f>H134/H136</f>
        <v>204.375</v>
      </c>
    </row>
    <row r="138" ht="15.75" customHeight="1">
      <c r="A138" s="28" t="str">
        <f>'COSTOS '!B9</f>
        <v>mantequilla AT</v>
      </c>
      <c r="B138" s="39">
        <f>B134*D138</f>
        <v>1031.25</v>
      </c>
      <c r="C138" s="41" t="s">
        <v>75</v>
      </c>
      <c r="D138" s="42">
        <v>0.33</v>
      </c>
      <c r="E138" s="43">
        <f>B138*'COSTOS '!E9</f>
        <v>8250</v>
      </c>
      <c r="F138" s="39" t="s">
        <v>40</v>
      </c>
      <c r="G138" s="36"/>
      <c r="H138" s="44">
        <f>H137*H135</f>
        <v>51093.75</v>
      </c>
    </row>
    <row r="139" ht="15.75" customHeight="1">
      <c r="A139" s="28" t="str">
        <f>'COSTOS '!B10</f>
        <v>ecencia </v>
      </c>
      <c r="B139" s="39">
        <f>B134*D139</f>
        <v>62.5</v>
      </c>
      <c r="C139" s="41" t="s">
        <v>75</v>
      </c>
      <c r="D139" s="42">
        <v>0.02</v>
      </c>
      <c r="E139" s="43">
        <f>B139*'COSTOS '!E10</f>
        <v>500</v>
      </c>
      <c r="F139" s="39" t="s">
        <v>43</v>
      </c>
      <c r="G139" s="36"/>
      <c r="H139" s="48">
        <f>SUM(E134:E161)</f>
        <v>39960.86869</v>
      </c>
    </row>
    <row r="140" ht="15.75" customHeight="1">
      <c r="A140" s="28" t="str">
        <f>'COSTOS '!B11</f>
        <v>levadura</v>
      </c>
      <c r="B140" s="39">
        <f>B134*D140</f>
        <v>187.5</v>
      </c>
      <c r="C140" s="41" t="s">
        <v>75</v>
      </c>
      <c r="D140" s="42">
        <v>0.06</v>
      </c>
      <c r="E140" s="43">
        <f>B140*'COSTOS '!E11</f>
        <v>1987.5</v>
      </c>
      <c r="F140" s="39" t="s">
        <v>45</v>
      </c>
      <c r="G140" s="36"/>
      <c r="H140" s="48">
        <v>8000.0</v>
      </c>
    </row>
    <row r="141" ht="15.75" customHeight="1">
      <c r="A141" s="28" t="str">
        <f>'COSTOS '!B12</f>
        <v>queso</v>
      </c>
      <c r="B141" s="39">
        <f>B134*D141</f>
        <v>0</v>
      </c>
      <c r="C141" s="41" t="s">
        <v>75</v>
      </c>
      <c r="D141" s="42">
        <v>0.0</v>
      </c>
      <c r="E141" s="43">
        <f>B141*'COSTOS '!E12</f>
        <v>0</v>
      </c>
      <c r="F141" s="39" t="s">
        <v>47</v>
      </c>
      <c r="G141" s="36"/>
      <c r="H141" s="48">
        <v>4000.0</v>
      </c>
    </row>
    <row r="142" ht="15.75" customHeight="1">
      <c r="A142" s="28" t="str">
        <f>'COSTOS '!B13</f>
        <v>color</v>
      </c>
      <c r="B142" s="39">
        <f>B134*D142</f>
        <v>0</v>
      </c>
      <c r="C142" s="41" t="s">
        <v>75</v>
      </c>
      <c r="D142" s="42">
        <v>0.0</v>
      </c>
      <c r="E142" s="43">
        <f>B142*'COSTOS '!E13</f>
        <v>0</v>
      </c>
      <c r="F142" s="39" t="s">
        <v>49</v>
      </c>
      <c r="G142" s="36"/>
      <c r="H142" s="48">
        <v>2000.0</v>
      </c>
    </row>
    <row r="143" ht="15.75" customHeight="1">
      <c r="A143" s="28" t="str">
        <f>'COSTOS '!B14</f>
        <v>arequipe </v>
      </c>
      <c r="B143" s="39">
        <f>B134*D143</f>
        <v>0</v>
      </c>
      <c r="C143" s="41" t="s">
        <v>75</v>
      </c>
      <c r="D143" s="42">
        <v>0.0</v>
      </c>
      <c r="E143" s="43">
        <f>B143*'COSTOS '!E14</f>
        <v>0</v>
      </c>
      <c r="F143" s="39" t="s">
        <v>51</v>
      </c>
      <c r="G143" s="36"/>
      <c r="H143" s="48">
        <v>8000.0</v>
      </c>
    </row>
    <row r="144" ht="15.75" customHeight="1">
      <c r="A144" s="28" t="str">
        <f>'COSTOS '!B15</f>
        <v>fecula </v>
      </c>
      <c r="B144" s="39">
        <f>B134*D144</f>
        <v>375</v>
      </c>
      <c r="C144" s="41" t="s">
        <v>75</v>
      </c>
      <c r="D144" s="42">
        <v>0.12</v>
      </c>
      <c r="E144" s="43">
        <f>B144*'COSTOS '!E15</f>
        <v>2659.090909</v>
      </c>
      <c r="F144" s="39" t="s">
        <v>53</v>
      </c>
      <c r="G144" s="36"/>
      <c r="H144" s="48">
        <f>H138-H139-H140-H141-H142-H143</f>
        <v>-10867.11869</v>
      </c>
    </row>
    <row r="145" ht="15.75" customHeight="1">
      <c r="A145" s="28" t="str">
        <f>'COSTOS '!B16</f>
        <v>hojaldre</v>
      </c>
      <c r="B145" s="39">
        <f>B134*D145</f>
        <v>0</v>
      </c>
      <c r="C145" s="41" t="s">
        <v>75</v>
      </c>
      <c r="D145" s="42">
        <v>0.0</v>
      </c>
      <c r="E145" s="43">
        <f>B145*'COSTOS '!E16</f>
        <v>0</v>
      </c>
      <c r="F145" s="39" t="s">
        <v>79</v>
      </c>
      <c r="G145" s="36"/>
      <c r="H145" s="48">
        <v>1200.0</v>
      </c>
    </row>
    <row r="146" ht="15.75" customHeight="1">
      <c r="A146" s="28" t="str">
        <f>'COSTOS '!B17</f>
        <v>leche en polvo</v>
      </c>
      <c r="B146" s="39">
        <f>B134*D146</f>
        <v>500</v>
      </c>
      <c r="C146" s="41" t="s">
        <v>75</v>
      </c>
      <c r="D146" s="42">
        <v>0.16</v>
      </c>
      <c r="E146" s="43">
        <f>B146*'COSTOS '!E17</f>
        <v>8400</v>
      </c>
    </row>
    <row r="147" ht="15.75" customHeight="1">
      <c r="A147" s="28" t="str">
        <f>'COSTOS '!B18</f>
        <v>manq de vaca </v>
      </c>
      <c r="B147" s="39">
        <f>B134*D147</f>
        <v>0</v>
      </c>
      <c r="C147" s="41" t="s">
        <v>75</v>
      </c>
      <c r="D147" s="42">
        <v>0.0</v>
      </c>
      <c r="E147" s="43">
        <f>B147*'COSTOS '!E18</f>
        <v>0</v>
      </c>
    </row>
    <row r="148" ht="15.75" customHeight="1">
      <c r="A148" s="28" t="str">
        <f>'COSTOS '!B19</f>
        <v>polvo de horniar</v>
      </c>
      <c r="B148" s="39">
        <f>B134*D148</f>
        <v>31.25</v>
      </c>
      <c r="C148" s="41" t="s">
        <v>75</v>
      </c>
      <c r="D148" s="42">
        <v>0.01</v>
      </c>
      <c r="E148" s="43">
        <f>B148*'COSTOS '!E19</f>
        <v>325</v>
      </c>
    </row>
    <row r="149" ht="15.75" customHeight="1">
      <c r="A149" s="28" t="str">
        <f>'COSTOS '!B20</f>
        <v>colmaiz </v>
      </c>
      <c r="B149" s="39">
        <f>B134*D149</f>
        <v>0</v>
      </c>
      <c r="C149" s="41" t="s">
        <v>75</v>
      </c>
      <c r="D149" s="42">
        <v>0.0</v>
      </c>
      <c r="E149" s="43">
        <f>B149*'COSTOS '!E20</f>
        <v>0</v>
      </c>
      <c r="F149" s="28" t="s">
        <v>180</v>
      </c>
    </row>
    <row r="150" ht="15.75" customHeight="1">
      <c r="A150" s="28" t="str">
        <f>'COSTOS '!B21</f>
        <v>promaza</v>
      </c>
      <c r="B150" s="39">
        <f>B134*D150</f>
        <v>0</v>
      </c>
      <c r="C150" s="41" t="s">
        <v>75</v>
      </c>
      <c r="D150" s="42">
        <v>0.0</v>
      </c>
      <c r="E150" s="43">
        <f>B150*'COSTOS '!E21</f>
        <v>0</v>
      </c>
    </row>
    <row r="151" ht="15.75" customHeight="1">
      <c r="A151" s="28" t="str">
        <f>'COSTOS '!B22</f>
        <v>azucar en polvo</v>
      </c>
      <c r="B151" s="39">
        <f>B134*D151</f>
        <v>0</v>
      </c>
      <c r="C151" s="41" t="s">
        <v>75</v>
      </c>
      <c r="D151" s="42">
        <v>0.0</v>
      </c>
      <c r="E151" s="43">
        <f>B151*'COSTOS '!E22</f>
        <v>0</v>
      </c>
    </row>
    <row r="152" ht="15.75" customHeight="1">
      <c r="A152" s="28" t="str">
        <f>'COSTOS '!B23</f>
        <v>almidon</v>
      </c>
      <c r="B152" s="39">
        <f>B134*D152</f>
        <v>0</v>
      </c>
      <c r="C152" s="41" t="s">
        <v>75</v>
      </c>
      <c r="D152" s="42">
        <v>0.0</v>
      </c>
      <c r="E152" s="43">
        <f>B152*'COSTOS '!E23</f>
        <v>0</v>
      </c>
    </row>
    <row r="153" ht="15.75" customHeight="1">
      <c r="A153" s="28" t="str">
        <f>'COSTOS '!B24</f>
        <v>aceite</v>
      </c>
      <c r="B153" s="39">
        <f>B134*D153</f>
        <v>0</v>
      </c>
      <c r="C153" s="41" t="s">
        <v>75</v>
      </c>
      <c r="D153" s="42">
        <v>0.0</v>
      </c>
      <c r="E153" s="43">
        <f>B153*'COSTOS '!E24</f>
        <v>0</v>
      </c>
    </row>
    <row r="154" ht="15.75" customHeight="1">
      <c r="A154" s="28" t="str">
        <f>'COSTOS '!B25</f>
        <v>uvas pasa</v>
      </c>
      <c r="B154" s="39">
        <f>B134*D154</f>
        <v>0</v>
      </c>
      <c r="C154" s="41" t="s">
        <v>75</v>
      </c>
      <c r="D154" s="42">
        <v>0.0</v>
      </c>
      <c r="E154" s="43">
        <f>B154*'COSTOS '!E25</f>
        <v>0</v>
      </c>
    </row>
    <row r="155" ht="15.75" customHeight="1">
      <c r="A155" s="28" t="str">
        <f>'COSTOS '!B26</f>
        <v>frurta crista</v>
      </c>
      <c r="B155" s="39">
        <f>B134*D155</f>
        <v>0</v>
      </c>
      <c r="C155" s="41" t="s">
        <v>75</v>
      </c>
      <c r="D155" s="42">
        <v>0.0</v>
      </c>
      <c r="E155" s="43">
        <f>B155*'COSTOS '!E26</f>
        <v>0</v>
      </c>
    </row>
    <row r="156" ht="15.75" customHeight="1">
      <c r="A156" s="28" t="str">
        <f>'COSTOS '!B27</f>
        <v>nuez brasil</v>
      </c>
      <c r="B156" s="39">
        <f>B134*D156</f>
        <v>0</v>
      </c>
      <c r="C156" s="41" t="s">
        <v>75</v>
      </c>
      <c r="D156" s="42">
        <v>0.0</v>
      </c>
      <c r="E156" s="43">
        <f>B156*'COSTOS '!E27</f>
        <v>0</v>
      </c>
    </row>
    <row r="157" ht="15.75" customHeight="1">
      <c r="A157" s="28" t="str">
        <f>'COSTOS '!B28</f>
        <v>coco dulce</v>
      </c>
      <c r="B157" s="39">
        <f>B134*D157</f>
        <v>0</v>
      </c>
      <c r="C157" s="41" t="s">
        <v>75</v>
      </c>
      <c r="D157" s="42">
        <v>0.0</v>
      </c>
      <c r="E157" s="43">
        <f>B157*'COSTOS '!E28</f>
        <v>0</v>
      </c>
    </row>
    <row r="158" ht="15.75" customHeight="1">
      <c r="A158" s="28" t="str">
        <f>'COSTOS '!B29</f>
        <v>coco simple </v>
      </c>
      <c r="B158" s="39">
        <f>B134*D158</f>
        <v>0</v>
      </c>
      <c r="C158" s="41" t="s">
        <v>75</v>
      </c>
      <c r="D158" s="42">
        <v>0.0</v>
      </c>
      <c r="E158" s="43">
        <f>B158*'COSTOS '!E29</f>
        <v>0</v>
      </c>
    </row>
    <row r="159" ht="15.75" customHeight="1">
      <c r="A159" s="28" t="str">
        <f>'COSTOS '!B30</f>
        <v>scernido</v>
      </c>
      <c r="B159" s="39">
        <f>B134*D159</f>
        <v>0</v>
      </c>
      <c r="C159" s="41" t="s">
        <v>75</v>
      </c>
      <c r="D159" s="42">
        <v>0.0</v>
      </c>
      <c r="E159" s="43">
        <f>B159*'COSTOS '!E30</f>
        <v>0</v>
      </c>
    </row>
    <row r="160" ht="15.75" customHeight="1">
      <c r="A160" s="28" t="str">
        <f>'COSTOS '!B31</f>
        <v>otros</v>
      </c>
      <c r="B160" s="39">
        <f>B134*D160</f>
        <v>31.25</v>
      </c>
      <c r="C160" s="41" t="s">
        <v>75</v>
      </c>
      <c r="D160" s="42">
        <v>0.01</v>
      </c>
      <c r="E160" s="43">
        <f>B160*'COSTOS '!E31</f>
        <v>156.25</v>
      </c>
    </row>
    <row r="161" ht="15.75" customHeight="1">
      <c r="A161" s="28" t="s">
        <v>179</v>
      </c>
      <c r="B161" s="39">
        <f>B134*D161</f>
        <v>562.5</v>
      </c>
      <c r="C161" s="41" t="s">
        <v>75</v>
      </c>
      <c r="D161" s="42">
        <v>0.18</v>
      </c>
      <c r="E161" s="43">
        <f>B161*'COSTOS '!E32</f>
        <v>0.5625</v>
      </c>
    </row>
    <row r="162" ht="15.75" customHeight="1"/>
    <row r="163" ht="15.75" customHeight="1"/>
    <row r="164" ht="15.75" customHeight="1">
      <c r="B164" s="28" t="s">
        <v>64</v>
      </c>
    </row>
    <row r="165" ht="15.75" customHeight="1"/>
    <row r="166" ht="15.75" customHeight="1">
      <c r="A166" s="28" t="str">
        <f>'COSTOS '!B5</f>
        <v>harina</v>
      </c>
      <c r="B166" s="39">
        <v>3125.0</v>
      </c>
      <c r="C166" s="41" t="s">
        <v>75</v>
      </c>
      <c r="D166" s="42">
        <v>1.0</v>
      </c>
      <c r="E166" s="43">
        <f>B166*'COSTOS '!E5</f>
        <v>11187.5</v>
      </c>
      <c r="F166" s="39" t="s">
        <v>31</v>
      </c>
      <c r="G166" s="36"/>
      <c r="H166" s="44">
        <f>SUM(B166:B193)</f>
        <v>6812.5</v>
      </c>
    </row>
    <row r="167" ht="15.75" customHeight="1">
      <c r="A167" s="28" t="str">
        <f>'COSTOS '!B6</f>
        <v>azucar</v>
      </c>
      <c r="B167" s="39">
        <f>B166*D167</f>
        <v>500</v>
      </c>
      <c r="C167" s="41" t="s">
        <v>75</v>
      </c>
      <c r="D167" s="42">
        <v>0.16</v>
      </c>
      <c r="E167" s="43">
        <f>B167*'COSTOS '!E6</f>
        <v>2100</v>
      </c>
      <c r="F167" s="39" t="s">
        <v>33</v>
      </c>
      <c r="G167" s="36"/>
      <c r="H167" s="48">
        <v>250.0</v>
      </c>
    </row>
    <row r="168" ht="15.75" customHeight="1">
      <c r="A168" s="28" t="str">
        <f>'COSTOS '!B7</f>
        <v>huevos </v>
      </c>
      <c r="B168" s="39">
        <f>B166*D168</f>
        <v>343.75</v>
      </c>
      <c r="C168" s="41" t="s">
        <v>75</v>
      </c>
      <c r="D168" s="42">
        <v>0.11</v>
      </c>
      <c r="E168" s="43">
        <f>B168*'COSTOS '!E7</f>
        <v>4277.777778</v>
      </c>
      <c r="F168" s="39" t="s">
        <v>36</v>
      </c>
      <c r="G168" s="36"/>
      <c r="H168" s="48">
        <f>H177/36</f>
        <v>33.33333333</v>
      </c>
    </row>
    <row r="169" ht="15.75" customHeight="1">
      <c r="A169" s="28" t="str">
        <f>'COSTOS '!B8</f>
        <v>sal</v>
      </c>
      <c r="B169" s="39">
        <f>B166*D169</f>
        <v>62.5</v>
      </c>
      <c r="C169" s="41" t="s">
        <v>75</v>
      </c>
      <c r="D169" s="42">
        <v>0.02</v>
      </c>
      <c r="E169" s="43">
        <f>B169*'COSTOS '!E8</f>
        <v>117.1875</v>
      </c>
      <c r="F169" s="39" t="s">
        <v>38</v>
      </c>
      <c r="G169" s="36"/>
      <c r="H169" s="44">
        <f>H166/H168</f>
        <v>204.375</v>
      </c>
    </row>
    <row r="170" ht="15.75" customHeight="1">
      <c r="A170" s="28" t="str">
        <f>'COSTOS '!B9</f>
        <v>mantequilla AT</v>
      </c>
      <c r="B170" s="39">
        <f>B166*D170</f>
        <v>1031.25</v>
      </c>
      <c r="C170" s="41" t="s">
        <v>75</v>
      </c>
      <c r="D170" s="42">
        <v>0.33</v>
      </c>
      <c r="E170" s="43">
        <f>B170*'COSTOS '!E9</f>
        <v>8250</v>
      </c>
      <c r="F170" s="39" t="s">
        <v>40</v>
      </c>
      <c r="G170" s="36"/>
      <c r="H170" s="44">
        <f>H169*H167</f>
        <v>51093.75</v>
      </c>
    </row>
    <row r="171" ht="15.75" customHeight="1">
      <c r="A171" s="28" t="str">
        <f>'COSTOS '!B10</f>
        <v>ecencia </v>
      </c>
      <c r="B171" s="39">
        <f>B166*D171</f>
        <v>62.5</v>
      </c>
      <c r="C171" s="41" t="s">
        <v>75</v>
      </c>
      <c r="D171" s="42">
        <v>0.02</v>
      </c>
      <c r="E171" s="43">
        <f>B171*'COSTOS '!E10</f>
        <v>500</v>
      </c>
      <c r="F171" s="39" t="s">
        <v>43</v>
      </c>
      <c r="G171" s="36"/>
      <c r="H171" s="48">
        <f>SUM(E166:E193)</f>
        <v>39960.86869</v>
      </c>
    </row>
    <row r="172" ht="15.75" customHeight="1">
      <c r="A172" s="28" t="str">
        <f>'COSTOS '!B11</f>
        <v>levadura</v>
      </c>
      <c r="B172" s="39">
        <f>B166*D172</f>
        <v>187.5</v>
      </c>
      <c r="C172" s="41" t="s">
        <v>75</v>
      </c>
      <c r="D172" s="42">
        <v>0.06</v>
      </c>
      <c r="E172" s="43">
        <f>B172*'COSTOS '!E11</f>
        <v>1987.5</v>
      </c>
      <c r="F172" s="39" t="s">
        <v>45</v>
      </c>
      <c r="G172" s="36"/>
      <c r="H172" s="48">
        <v>8000.0</v>
      </c>
    </row>
    <row r="173" ht="15.75" customHeight="1">
      <c r="A173" s="28" t="str">
        <f>'COSTOS '!B12</f>
        <v>queso</v>
      </c>
      <c r="B173" s="39">
        <f>B166*D173</f>
        <v>0</v>
      </c>
      <c r="C173" s="41" t="s">
        <v>75</v>
      </c>
      <c r="D173" s="42">
        <v>0.0</v>
      </c>
      <c r="E173" s="43">
        <f>B173*'COSTOS '!E12</f>
        <v>0</v>
      </c>
      <c r="F173" s="39" t="s">
        <v>47</v>
      </c>
      <c r="G173" s="36"/>
      <c r="H173" s="48">
        <v>4000.0</v>
      </c>
    </row>
    <row r="174" ht="15.75" customHeight="1">
      <c r="A174" s="28" t="str">
        <f>'COSTOS '!B13</f>
        <v>color</v>
      </c>
      <c r="B174" s="39">
        <f>B166*D174</f>
        <v>0</v>
      </c>
      <c r="C174" s="41" t="s">
        <v>75</v>
      </c>
      <c r="D174" s="42">
        <v>0.0</v>
      </c>
      <c r="E174" s="43">
        <f>B174*'COSTOS '!E13</f>
        <v>0</v>
      </c>
      <c r="F174" s="39" t="s">
        <v>49</v>
      </c>
      <c r="G174" s="36"/>
      <c r="H174" s="48">
        <v>2000.0</v>
      </c>
    </row>
    <row r="175" ht="15.75" customHeight="1">
      <c r="A175" s="28" t="str">
        <f>'COSTOS '!B14</f>
        <v>arequipe </v>
      </c>
      <c r="B175" s="39">
        <f>B166*D175</f>
        <v>0</v>
      </c>
      <c r="C175" s="41" t="s">
        <v>75</v>
      </c>
      <c r="D175" s="42">
        <v>0.0</v>
      </c>
      <c r="E175" s="43">
        <f>B175*'COSTOS '!E14</f>
        <v>0</v>
      </c>
      <c r="F175" s="39" t="s">
        <v>51</v>
      </c>
      <c r="G175" s="36"/>
      <c r="H175" s="48">
        <v>8000.0</v>
      </c>
    </row>
    <row r="176" ht="15.75" customHeight="1">
      <c r="A176" s="28" t="str">
        <f>'COSTOS '!B15</f>
        <v>fecula </v>
      </c>
      <c r="B176" s="39">
        <f>B166*D176</f>
        <v>375</v>
      </c>
      <c r="C176" s="41" t="s">
        <v>75</v>
      </c>
      <c r="D176" s="42">
        <v>0.12</v>
      </c>
      <c r="E176" s="43">
        <f>B176*'COSTOS '!E15</f>
        <v>2659.090909</v>
      </c>
      <c r="F176" s="39" t="s">
        <v>53</v>
      </c>
      <c r="G176" s="36"/>
      <c r="H176" s="48">
        <f>H170-H171-H172-H173-H174-H175</f>
        <v>-10867.11869</v>
      </c>
    </row>
    <row r="177" ht="15.75" customHeight="1">
      <c r="A177" s="28" t="str">
        <f>'COSTOS '!B16</f>
        <v>hojaldre</v>
      </c>
      <c r="B177" s="39">
        <f>B166*D177</f>
        <v>0</v>
      </c>
      <c r="C177" s="41" t="s">
        <v>75</v>
      </c>
      <c r="D177" s="42">
        <v>0.0</v>
      </c>
      <c r="E177" s="43">
        <f>B177*'COSTOS '!E16</f>
        <v>0</v>
      </c>
      <c r="F177" s="39" t="s">
        <v>79</v>
      </c>
      <c r="G177" s="36"/>
      <c r="H177" s="48">
        <v>1200.0</v>
      </c>
    </row>
    <row r="178" ht="15.75" customHeight="1">
      <c r="A178" s="28" t="str">
        <f>'COSTOS '!B17</f>
        <v>leche en polvo</v>
      </c>
      <c r="B178" s="39">
        <f>B166*D178</f>
        <v>500</v>
      </c>
      <c r="C178" s="41" t="s">
        <v>75</v>
      </c>
      <c r="D178" s="42">
        <v>0.16</v>
      </c>
      <c r="E178" s="43">
        <f>B178*'COSTOS '!E17</f>
        <v>8400</v>
      </c>
    </row>
    <row r="179" ht="15.75" customHeight="1">
      <c r="A179" s="28" t="str">
        <f>'COSTOS '!B18</f>
        <v>manq de vaca </v>
      </c>
      <c r="B179" s="39">
        <f>B166*D179</f>
        <v>0</v>
      </c>
      <c r="C179" s="41" t="s">
        <v>75</v>
      </c>
      <c r="D179" s="42">
        <v>0.0</v>
      </c>
      <c r="E179" s="43">
        <f>B179*'COSTOS '!E18</f>
        <v>0</v>
      </c>
    </row>
    <row r="180" ht="15.75" customHeight="1">
      <c r="A180" s="28" t="str">
        <f>'COSTOS '!B19</f>
        <v>polvo de horniar</v>
      </c>
      <c r="B180" s="39">
        <f>B166*D180</f>
        <v>31.25</v>
      </c>
      <c r="C180" s="41" t="s">
        <v>75</v>
      </c>
      <c r="D180" s="42">
        <v>0.01</v>
      </c>
      <c r="E180" s="43">
        <f>B180*'COSTOS '!E19</f>
        <v>325</v>
      </c>
    </row>
    <row r="181" ht="15.75" customHeight="1">
      <c r="A181" s="28" t="str">
        <f>'COSTOS '!B20</f>
        <v>colmaiz </v>
      </c>
      <c r="B181" s="39">
        <f>B166*D181</f>
        <v>0</v>
      </c>
      <c r="C181" s="41" t="s">
        <v>75</v>
      </c>
      <c r="D181" s="42">
        <v>0.0</v>
      </c>
      <c r="E181" s="43">
        <f>B181*'COSTOS '!E20</f>
        <v>0</v>
      </c>
      <c r="F181" s="28" t="s">
        <v>180</v>
      </c>
    </row>
    <row r="182" ht="15.75" customHeight="1">
      <c r="A182" s="28" t="str">
        <f>'COSTOS '!B21</f>
        <v>promaza</v>
      </c>
      <c r="B182" s="39">
        <f>B166*D182</f>
        <v>0</v>
      </c>
      <c r="C182" s="41" t="s">
        <v>75</v>
      </c>
      <c r="D182" s="42">
        <v>0.0</v>
      </c>
      <c r="E182" s="43">
        <f>B182*'COSTOS '!E21</f>
        <v>0</v>
      </c>
    </row>
    <row r="183" ht="15.75" customHeight="1">
      <c r="A183" s="28" t="str">
        <f>'COSTOS '!B22</f>
        <v>azucar en polvo</v>
      </c>
      <c r="B183" s="39">
        <f>B166*D183</f>
        <v>0</v>
      </c>
      <c r="C183" s="41" t="s">
        <v>75</v>
      </c>
      <c r="D183" s="42">
        <v>0.0</v>
      </c>
      <c r="E183" s="43">
        <f>B183*'COSTOS '!E22</f>
        <v>0</v>
      </c>
    </row>
    <row r="184" ht="15.75" customHeight="1">
      <c r="A184" s="28" t="str">
        <f>'COSTOS '!B23</f>
        <v>almidon</v>
      </c>
      <c r="B184" s="39">
        <f>B166*D184</f>
        <v>0</v>
      </c>
      <c r="C184" s="41" t="s">
        <v>75</v>
      </c>
      <c r="D184" s="42">
        <v>0.0</v>
      </c>
      <c r="E184" s="43">
        <f>B184*'COSTOS '!E23</f>
        <v>0</v>
      </c>
    </row>
    <row r="185" ht="15.75" customHeight="1">
      <c r="A185" s="28" t="str">
        <f>'COSTOS '!B24</f>
        <v>aceite</v>
      </c>
      <c r="B185" s="39">
        <f>B166*D185</f>
        <v>0</v>
      </c>
      <c r="C185" s="41" t="s">
        <v>75</v>
      </c>
      <c r="D185" s="42">
        <v>0.0</v>
      </c>
      <c r="E185" s="43">
        <f>B185*'COSTOS '!E24</f>
        <v>0</v>
      </c>
    </row>
    <row r="186" ht="15.75" customHeight="1">
      <c r="A186" s="28" t="str">
        <f>'COSTOS '!B25</f>
        <v>uvas pasa</v>
      </c>
      <c r="B186" s="39">
        <f>B166*D186</f>
        <v>0</v>
      </c>
      <c r="C186" s="41" t="s">
        <v>75</v>
      </c>
      <c r="D186" s="42">
        <v>0.0</v>
      </c>
      <c r="E186" s="43">
        <f>B186*'COSTOS '!E25</f>
        <v>0</v>
      </c>
    </row>
    <row r="187" ht="15.75" customHeight="1">
      <c r="A187" s="28" t="str">
        <f>'COSTOS '!B26</f>
        <v>frurta crista</v>
      </c>
      <c r="B187" s="39">
        <f>B166*D187</f>
        <v>0</v>
      </c>
      <c r="C187" s="41" t="s">
        <v>75</v>
      </c>
      <c r="D187" s="42">
        <v>0.0</v>
      </c>
      <c r="E187" s="43">
        <f>B187*'COSTOS '!E26</f>
        <v>0</v>
      </c>
    </row>
    <row r="188" ht="15.75" customHeight="1">
      <c r="A188" s="28" t="str">
        <f>'COSTOS '!B27</f>
        <v>nuez brasil</v>
      </c>
      <c r="B188" s="39">
        <f>B166*D188</f>
        <v>0</v>
      </c>
      <c r="C188" s="41" t="s">
        <v>75</v>
      </c>
      <c r="D188" s="42">
        <v>0.0</v>
      </c>
      <c r="E188" s="43">
        <f>B188*'COSTOS '!E27</f>
        <v>0</v>
      </c>
    </row>
    <row r="189" ht="15.75" customHeight="1">
      <c r="A189" s="28" t="str">
        <f>'COSTOS '!B28</f>
        <v>coco dulce</v>
      </c>
      <c r="B189" s="39">
        <f>B166*D189</f>
        <v>0</v>
      </c>
      <c r="C189" s="41" t="s">
        <v>75</v>
      </c>
      <c r="D189" s="42">
        <v>0.0</v>
      </c>
      <c r="E189" s="43">
        <f>B189*'COSTOS '!E28</f>
        <v>0</v>
      </c>
    </row>
    <row r="190" ht="15.75" customHeight="1">
      <c r="A190" s="28" t="str">
        <f>'COSTOS '!B29</f>
        <v>coco simple </v>
      </c>
      <c r="B190" s="39">
        <f>B166*D190</f>
        <v>0</v>
      </c>
      <c r="C190" s="41" t="s">
        <v>75</v>
      </c>
      <c r="D190" s="42">
        <v>0.0</v>
      </c>
      <c r="E190" s="43">
        <f>B190*'COSTOS '!E29</f>
        <v>0</v>
      </c>
    </row>
    <row r="191" ht="15.75" customHeight="1">
      <c r="A191" s="28" t="str">
        <f>'COSTOS '!B30</f>
        <v>scernido</v>
      </c>
      <c r="B191" s="39">
        <f>B166*D191</f>
        <v>0</v>
      </c>
      <c r="C191" s="41" t="s">
        <v>75</v>
      </c>
      <c r="D191" s="42">
        <v>0.0</v>
      </c>
      <c r="E191" s="43">
        <f>B191*'COSTOS '!E30</f>
        <v>0</v>
      </c>
    </row>
    <row r="192" ht="15.75" customHeight="1">
      <c r="A192" s="28" t="str">
        <f>'COSTOS '!B31</f>
        <v>otros</v>
      </c>
      <c r="B192" s="39">
        <f>B166*D192</f>
        <v>31.25</v>
      </c>
      <c r="C192" s="41" t="s">
        <v>75</v>
      </c>
      <c r="D192" s="42">
        <v>0.01</v>
      </c>
      <c r="E192" s="43">
        <f>B192*'COSTOS '!E31</f>
        <v>156.25</v>
      </c>
    </row>
    <row r="193" ht="15.75" customHeight="1">
      <c r="A193" s="28" t="str">
        <f>'COSTOS '!B32</f>
        <v>agua</v>
      </c>
      <c r="B193" s="39">
        <f>B166*D193</f>
        <v>562.5</v>
      </c>
      <c r="C193" s="41" t="s">
        <v>75</v>
      </c>
      <c r="D193" s="42">
        <v>0.18</v>
      </c>
      <c r="E193" s="43">
        <f>B193*'COSTOS '!E32</f>
        <v>0.5625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9.86"/>
    <col customWidth="1" min="3" max="3" width="2.0"/>
    <col customWidth="1" min="4" max="4" width="18.0"/>
    <col customWidth="1" min="5" max="5" width="4.57"/>
    <col customWidth="1" min="7" max="7" width="4.29"/>
  </cols>
  <sheetData>
    <row r="1" ht="15.75" customHeight="1">
      <c r="A1" s="36"/>
      <c r="B1" s="7" t="s">
        <v>17</v>
      </c>
      <c r="C1" s="10"/>
      <c r="D1" s="14" t="s">
        <v>55</v>
      </c>
      <c r="E1" s="36"/>
      <c r="F1" s="62"/>
      <c r="G1" s="36"/>
      <c r="H1" s="62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/>
      <c r="B2" s="14" t="s">
        <v>18</v>
      </c>
      <c r="C2" s="10"/>
      <c r="D2" s="14" t="s">
        <v>56</v>
      </c>
      <c r="E2" s="36"/>
      <c r="F2" s="62"/>
      <c r="G2" s="36"/>
      <c r="H2" s="62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/>
      <c r="B3" s="14" t="s">
        <v>19</v>
      </c>
      <c r="C3" s="10"/>
      <c r="D3" s="14" t="s">
        <v>58</v>
      </c>
      <c r="E3" s="36"/>
      <c r="F3" s="62"/>
      <c r="G3" s="36"/>
      <c r="H3" s="62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/>
      <c r="B4" s="14" t="s">
        <v>20</v>
      </c>
      <c r="C4" s="10"/>
      <c r="D4" s="14" t="s">
        <v>59</v>
      </c>
      <c r="E4" s="36"/>
      <c r="F4" s="62"/>
      <c r="G4" s="36"/>
      <c r="H4" s="62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/>
      <c r="B5" s="14" t="s">
        <v>77</v>
      </c>
      <c r="C5" s="10"/>
      <c r="D5" s="14" t="s">
        <v>60</v>
      </c>
      <c r="E5" s="36"/>
      <c r="F5" s="62"/>
      <c r="G5" s="36"/>
      <c r="H5" s="62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14" t="s">
        <v>22</v>
      </c>
      <c r="C6" s="10"/>
      <c r="D6" s="14" t="s">
        <v>61</v>
      </c>
      <c r="E6" s="36"/>
      <c r="F6" s="62"/>
      <c r="G6" s="36"/>
      <c r="H6" s="62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14" t="s">
        <v>23</v>
      </c>
      <c r="C7" s="10"/>
      <c r="D7" s="14" t="s">
        <v>62</v>
      </c>
      <c r="E7" s="36"/>
      <c r="F7" s="62"/>
      <c r="G7" s="36"/>
      <c r="H7" s="62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/>
      <c r="B8" s="14" t="s">
        <v>24</v>
      </c>
      <c r="C8" s="10"/>
      <c r="D8" s="14" t="s">
        <v>63</v>
      </c>
      <c r="E8" s="36"/>
      <c r="F8" s="62"/>
      <c r="G8" s="36"/>
      <c r="H8" s="62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14" t="s">
        <v>25</v>
      </c>
      <c r="C9" s="10"/>
      <c r="D9" s="14" t="s">
        <v>64</v>
      </c>
      <c r="E9" s="36"/>
      <c r="F9" s="62"/>
      <c r="G9" s="36"/>
      <c r="H9" s="62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14" t="s">
        <v>26</v>
      </c>
      <c r="C10" s="10"/>
      <c r="D10" s="14" t="s">
        <v>65</v>
      </c>
      <c r="E10" s="36"/>
      <c r="F10" s="62"/>
      <c r="G10" s="36"/>
      <c r="H10" s="62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14" t="s">
        <v>27</v>
      </c>
      <c r="C11" s="10"/>
      <c r="D11" s="14" t="s">
        <v>66</v>
      </c>
      <c r="E11" s="36"/>
      <c r="F11" s="62"/>
      <c r="G11" s="36"/>
      <c r="H11" s="62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14" t="s">
        <v>28</v>
      </c>
      <c r="C12" s="10"/>
      <c r="D12" s="14" t="s">
        <v>67</v>
      </c>
      <c r="E12" s="36"/>
      <c r="F12" s="62"/>
      <c r="G12" s="36"/>
      <c r="H12" s="6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14" t="s">
        <v>29</v>
      </c>
      <c r="C13" s="10"/>
      <c r="D13" s="14" t="s">
        <v>68</v>
      </c>
      <c r="E13" s="36"/>
      <c r="F13" s="62"/>
      <c r="G13" s="36"/>
      <c r="H13" s="62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14" t="s">
        <v>30</v>
      </c>
      <c r="C14" s="10"/>
      <c r="D14" s="14" t="s">
        <v>69</v>
      </c>
      <c r="E14" s="36"/>
      <c r="F14" s="62"/>
      <c r="G14" s="36"/>
      <c r="H14" s="62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14" t="s">
        <v>32</v>
      </c>
      <c r="C15" s="10"/>
      <c r="D15" s="14" t="s">
        <v>181</v>
      </c>
      <c r="E15" s="36"/>
      <c r="F15" s="62"/>
      <c r="G15" s="36"/>
      <c r="H15" s="6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14" t="s">
        <v>35</v>
      </c>
      <c r="C16" s="10"/>
      <c r="D16" s="14" t="s">
        <v>182</v>
      </c>
      <c r="E16" s="36"/>
      <c r="F16" s="62"/>
      <c r="G16" s="36"/>
      <c r="H16" s="62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14" t="s">
        <v>37</v>
      </c>
      <c r="C17" s="10"/>
      <c r="D17" s="14" t="s">
        <v>44</v>
      </c>
      <c r="E17" s="36"/>
      <c r="F17" s="62"/>
      <c r="G17" s="36"/>
      <c r="H17" s="62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6"/>
      <c r="B18" s="14" t="s">
        <v>89</v>
      </c>
      <c r="C18" s="10"/>
      <c r="D18" s="14" t="s">
        <v>72</v>
      </c>
      <c r="E18" s="36"/>
      <c r="F18" s="62"/>
      <c r="G18" s="36"/>
      <c r="H18" s="62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6"/>
      <c r="B19" s="14" t="s">
        <v>42</v>
      </c>
      <c r="C19" s="10"/>
      <c r="D19" s="14" t="s">
        <v>183</v>
      </c>
      <c r="E19" s="36"/>
      <c r="F19" s="62"/>
      <c r="G19" s="36"/>
      <c r="H19" s="62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36"/>
      <c r="B20" s="14" t="s">
        <v>44</v>
      </c>
      <c r="C20" s="10"/>
      <c r="D20" s="63" t="s">
        <v>73</v>
      </c>
      <c r="E20" s="36"/>
      <c r="F20" s="62"/>
      <c r="G20" s="36"/>
      <c r="H20" s="62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14" t="s">
        <v>46</v>
      </c>
      <c r="C21" s="10"/>
      <c r="D21" s="62"/>
      <c r="E21" s="36"/>
      <c r="F21" s="62"/>
      <c r="G21" s="36"/>
      <c r="H21" s="62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14" t="s">
        <v>48</v>
      </c>
      <c r="C22" s="10"/>
      <c r="D22" s="62"/>
      <c r="E22" s="36"/>
      <c r="F22" s="62"/>
      <c r="G22" s="36"/>
      <c r="H22" s="62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14" t="s">
        <v>50</v>
      </c>
      <c r="C23" s="10"/>
      <c r="D23" s="62"/>
      <c r="E23" s="36"/>
      <c r="F23" s="62"/>
      <c r="G23" s="36"/>
      <c r="H23" s="62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14" t="s">
        <v>52</v>
      </c>
      <c r="C24" s="10"/>
      <c r="D24" s="62"/>
      <c r="E24" s="36"/>
      <c r="F24" s="62"/>
      <c r="G24" s="36"/>
      <c r="H24" s="62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14" t="s">
        <v>54</v>
      </c>
      <c r="C25" s="10"/>
      <c r="D25" s="62"/>
      <c r="E25" s="36"/>
      <c r="F25" s="62"/>
      <c r="G25" s="36"/>
      <c r="H25" s="62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36"/>
      <c r="C26" s="1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36"/>
      <c r="C27" s="10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10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10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10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6"/>
      <c r="C31" s="10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6"/>
      <c r="C32" s="1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6"/>
      <c r="C33" s="10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6"/>
      <c r="C34" s="10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36"/>
      <c r="C35" s="10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36"/>
      <c r="C36" s="10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36"/>
      <c r="C37" s="10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36"/>
      <c r="C38" s="10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36"/>
      <c r="C39" s="10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36"/>
      <c r="C40" s="10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36"/>
      <c r="C41" s="10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36"/>
      <c r="C42" s="10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36"/>
      <c r="C43" s="10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