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johnhugh\Desktop\PHYS 5318\Experiment 6 Optical Tweezers\"/>
    </mc:Choice>
  </mc:AlternateContent>
  <xr:revisionPtr revIDLastSave="0" documentId="13_ncr:1_{408BA3F3-78EA-40C6-9C88-F9297C2BFFD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3" i="1" l="1"/>
  <c r="AF22" i="1"/>
  <c r="AF21" i="1"/>
  <c r="AF20" i="1"/>
  <c r="AF19" i="1"/>
  <c r="AF18" i="1"/>
  <c r="Y7" i="1"/>
  <c r="Y6" i="1"/>
  <c r="Y5" i="1"/>
  <c r="Y4" i="1"/>
  <c r="Y3" i="1"/>
  <c r="Y8" i="1"/>
  <c r="AE19" i="1"/>
  <c r="AE20" i="1"/>
  <c r="AE21" i="1"/>
  <c r="AE22" i="1"/>
  <c r="AE23" i="1"/>
  <c r="AE18" i="1"/>
  <c r="AD23" i="1"/>
  <c r="AD22" i="1"/>
  <c r="AD21" i="1"/>
  <c r="AD20" i="1"/>
  <c r="AD19" i="1"/>
  <c r="AD18" i="1"/>
  <c r="W9" i="1"/>
  <c r="W8" i="1"/>
  <c r="C29" i="1" s="1"/>
  <c r="W7" i="1"/>
  <c r="C28" i="1" s="1"/>
  <c r="W6" i="1"/>
  <c r="AB6" i="1" s="1"/>
  <c r="W5" i="1"/>
  <c r="W4" i="1"/>
  <c r="AB4" i="1" s="1"/>
  <c r="W3" i="1"/>
  <c r="AC23" i="1"/>
  <c r="AC22" i="1"/>
  <c r="AC21" i="1"/>
  <c r="AC20" i="1"/>
  <c r="AC19" i="1"/>
  <c r="AC18" i="1"/>
  <c r="AB5" i="1"/>
  <c r="AB9" i="1"/>
  <c r="AB3" i="1"/>
  <c r="Z9" i="1"/>
  <c r="AA9" i="1"/>
  <c r="Y9" i="1"/>
  <c r="C30" i="1"/>
  <c r="B30" i="1"/>
  <c r="U9" i="1"/>
  <c r="U7" i="1"/>
  <c r="AA7" i="1" s="1"/>
  <c r="Z7" i="1" s="1"/>
  <c r="U6" i="1"/>
  <c r="AA6" i="1" s="1"/>
  <c r="Z6" i="1" s="1"/>
  <c r="AA4" i="1"/>
  <c r="AA5" i="1"/>
  <c r="AA8" i="1"/>
  <c r="Z8" i="1" s="1"/>
  <c r="Z4" i="1"/>
  <c r="Z5" i="1"/>
  <c r="Z3" i="1"/>
  <c r="B24" i="1"/>
  <c r="AA3" i="1"/>
  <c r="C25" i="1"/>
  <c r="C26" i="1"/>
  <c r="X7" i="1"/>
  <c r="N3" i="1"/>
  <c r="G22" i="1"/>
  <c r="F22" i="1"/>
  <c r="B33" i="1"/>
  <c r="R10" i="1"/>
  <c r="R20" i="1"/>
  <c r="P4" i="1"/>
  <c r="P7" i="1"/>
  <c r="P9" i="1"/>
  <c r="P15" i="1"/>
  <c r="P16" i="1"/>
  <c r="P17" i="1"/>
  <c r="P20" i="1"/>
  <c r="O21" i="1"/>
  <c r="P21" i="1" s="1"/>
  <c r="N21" i="1"/>
  <c r="Q21" i="1" s="1"/>
  <c r="R21" i="1" s="1"/>
  <c r="O20" i="1"/>
  <c r="N20" i="1"/>
  <c r="Q20" i="1" s="1"/>
  <c r="O19" i="1"/>
  <c r="N19" i="1"/>
  <c r="Q19" i="1" s="1"/>
  <c r="R19" i="1" s="1"/>
  <c r="O18" i="1"/>
  <c r="P18" i="1" s="1"/>
  <c r="N18" i="1"/>
  <c r="Q18" i="1" s="1"/>
  <c r="R18" i="1" s="1"/>
  <c r="Q17" i="1"/>
  <c r="R17" i="1" s="1"/>
  <c r="O17" i="1"/>
  <c r="N17" i="1"/>
  <c r="O16" i="1"/>
  <c r="N16" i="1"/>
  <c r="Q16" i="1" s="1"/>
  <c r="R16" i="1" s="1"/>
  <c r="O15" i="1"/>
  <c r="N15" i="1"/>
  <c r="Q15" i="1" s="1"/>
  <c r="R15" i="1" s="1"/>
  <c r="Q14" i="1"/>
  <c r="R14" i="1" s="1"/>
  <c r="O14" i="1"/>
  <c r="P14" i="1" s="1"/>
  <c r="N14" i="1"/>
  <c r="O13" i="1"/>
  <c r="P13" i="1" s="1"/>
  <c r="N13" i="1"/>
  <c r="Q13" i="1" s="1"/>
  <c r="R13" i="1" s="1"/>
  <c r="O12" i="1"/>
  <c r="P12" i="1" s="1"/>
  <c r="N12" i="1"/>
  <c r="Q12" i="1" s="1"/>
  <c r="R12" i="1" s="1"/>
  <c r="Q11" i="1"/>
  <c r="R11" i="1" s="1"/>
  <c r="O11" i="1"/>
  <c r="P11" i="1" s="1"/>
  <c r="N11" i="1"/>
  <c r="O10" i="1"/>
  <c r="P10" i="1" s="1"/>
  <c r="N10" i="1"/>
  <c r="Q10" i="1" s="1"/>
  <c r="O9" i="1"/>
  <c r="N9" i="1"/>
  <c r="Q9" i="1" s="1"/>
  <c r="R9" i="1" s="1"/>
  <c r="Q8" i="1"/>
  <c r="R8" i="1" s="1"/>
  <c r="O8" i="1"/>
  <c r="P8" i="1" s="1"/>
  <c r="N8" i="1"/>
  <c r="O7" i="1"/>
  <c r="N7" i="1"/>
  <c r="Q7" i="1" s="1"/>
  <c r="R7" i="1" s="1"/>
  <c r="O6" i="1"/>
  <c r="N6" i="1"/>
  <c r="Q6" i="1" s="1"/>
  <c r="R6" i="1" s="1"/>
  <c r="Q5" i="1"/>
  <c r="R5" i="1" s="1"/>
  <c r="O5" i="1"/>
  <c r="P5" i="1" s="1"/>
  <c r="N5" i="1"/>
  <c r="O4" i="1"/>
  <c r="N4" i="1"/>
  <c r="Q4" i="1" s="1"/>
  <c r="R4" i="1" s="1"/>
  <c r="Q3" i="1"/>
  <c r="R3" i="1" s="1"/>
  <c r="O3" i="1"/>
  <c r="P3" i="1" s="1"/>
  <c r="AB8" i="1" l="1"/>
  <c r="AB7" i="1"/>
  <c r="C27" i="1"/>
  <c r="X6" i="1"/>
  <c r="X5" i="1"/>
  <c r="X3" i="1"/>
  <c r="C24" i="1"/>
  <c r="P6" i="1"/>
  <c r="X4" i="1" s="1"/>
  <c r="B27" i="1"/>
  <c r="P19" i="1"/>
  <c r="X8" i="1" s="1"/>
  <c r="U3" i="1"/>
  <c r="V3" i="1"/>
  <c r="V5" i="1"/>
  <c r="U5" i="1"/>
  <c r="B26" i="1" s="1"/>
  <c r="V4" i="1"/>
  <c r="U4" i="1"/>
  <c r="B25" i="1" s="1"/>
  <c r="V6" i="1"/>
  <c r="V7" i="1"/>
  <c r="B28" i="1"/>
  <c r="V8" i="1"/>
  <c r="U8" i="1"/>
  <c r="B29" i="1" s="1"/>
  <c r="E26" i="1" l="1"/>
  <c r="E28" i="1"/>
  <c r="E25" i="1"/>
  <c r="E24" i="1"/>
  <c r="E27" i="1"/>
  <c r="E29" i="1" l="1"/>
</calcChain>
</file>

<file path=xl/sharedStrings.xml><?xml version="1.0" encoding="utf-8"?>
<sst xmlns="http://schemas.openxmlformats.org/spreadsheetml/2006/main" count="69" uniqueCount="55">
  <si>
    <t>Initial</t>
  </si>
  <si>
    <t>Bead Size</t>
  </si>
  <si>
    <t>4.95 um</t>
  </si>
  <si>
    <t>Steady State</t>
  </si>
  <si>
    <t>Flow Velocity</t>
  </si>
  <si>
    <t>Frame #</t>
  </si>
  <si>
    <t>X Pos (px)</t>
  </si>
  <si>
    <t>Y Pos (px)</t>
  </si>
  <si>
    <t>Radius (px)</t>
  </si>
  <si>
    <t>Radius Uncertainty</t>
  </si>
  <si>
    <t>Start Frame #</t>
  </si>
  <si>
    <t>X _ 1 (px)</t>
  </si>
  <si>
    <t>X _ 2 (px)</t>
  </si>
  <si>
    <t>Time (s)</t>
  </si>
  <si>
    <t>Displacement (px)</t>
  </si>
  <si>
    <t>Displacement (um)</t>
  </si>
  <si>
    <t>Speed (px/s)</t>
  </si>
  <si>
    <t>Speed (um/s)</t>
  </si>
  <si>
    <t>Setting</t>
  </si>
  <si>
    <t>Std Err Speed (um/s)</t>
  </si>
  <si>
    <t>9 mlph</t>
  </si>
  <si>
    <t>18 mlph</t>
  </si>
  <si>
    <t>27 mlph</t>
  </si>
  <si>
    <t>36 mlph</t>
  </si>
  <si>
    <t>45 mlph</t>
  </si>
  <si>
    <t>54 mlph</t>
  </si>
  <si>
    <t>Max pump</t>
  </si>
  <si>
    <t>Fvis-9</t>
  </si>
  <si>
    <t>Fvis-18</t>
  </si>
  <si>
    <t>Fvis-27</t>
  </si>
  <si>
    <t>Fvis-36</t>
  </si>
  <si>
    <t>Fvis-45</t>
  </si>
  <si>
    <t>Fvis-54</t>
  </si>
  <si>
    <t>Drag Force Vis</t>
  </si>
  <si>
    <t>viscosity</t>
  </si>
  <si>
    <t>millipascals second</t>
  </si>
  <si>
    <t>radius</t>
  </si>
  <si>
    <t>microns</t>
  </si>
  <si>
    <t>velocity</t>
  </si>
  <si>
    <t>variable</t>
  </si>
  <si>
    <t>microns/second</t>
  </si>
  <si>
    <t>femtonewton (e-15 newtons)</t>
  </si>
  <si>
    <t>disp microns</t>
  </si>
  <si>
    <t>k hardcoded</t>
  </si>
  <si>
    <t>pN</t>
  </si>
  <si>
    <t>Drag Force (pN)</t>
  </si>
  <si>
    <t>Std Err Drag Force (fN)</t>
  </si>
  <si>
    <t>Std Err Drag Force (pN)</t>
  </si>
  <si>
    <t>Std Err Disp (um)</t>
  </si>
  <si>
    <t>Table 1. The average speed, displacement, and drag force for each flow rate setting, with accompanying error</t>
  </si>
  <si>
    <t>Max</t>
  </si>
  <si>
    <t>calculated from k</t>
  </si>
  <si>
    <t>sumx</t>
  </si>
  <si>
    <t>N</t>
  </si>
  <si>
    <t>model DF (pN)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</si>
</sst>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-d"/>
    <numFmt numFmtId="165" formatCode="0.000"/>
  </numFmts>
  <fonts count="6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0" fillId="0" borderId="0" xfId="0" applyFont="1" applyAlignment="1"/>
    <xf numFmtId="165" fontId="0" fillId="2" borderId="1" xfId="0" applyNumberFormat="1" applyFont="1" applyFill="1" applyBorder="1"/>
    <xf numFmtId="165" fontId="2" fillId="2" borderId="1" xfId="0" applyNumberFormat="1" applyFont="1" applyFill="1" applyBorder="1" applyAlignment="1">
      <alignment horizontal="right"/>
    </xf>
    <xf numFmtId="165" fontId="1" fillId="0" borderId="1" xfId="0" applyNumberFormat="1" applyFont="1" applyBorder="1"/>
    <xf numFmtId="165" fontId="0" fillId="0" borderId="1" xfId="0" applyNumberFormat="1" applyFont="1" applyBorder="1" applyAlignment="1"/>
    <xf numFmtId="0" fontId="3" fillId="0" borderId="1" xfId="0" applyFont="1" applyBorder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4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3" fillId="0" borderId="3" xfId="0" applyFont="1" applyFill="1" applyBorder="1" applyAlignment="1"/>
    <xf numFmtId="0" fontId="3" fillId="0" borderId="4" xfId="0" applyFont="1" applyFill="1" applyBorder="1" applyAlignment="1"/>
    <xf numFmtId="0" fontId="0" fillId="0" borderId="1" xfId="0" applyFont="1" applyBorder="1" applyAlignment="1"/>
    <xf numFmtId="0" fontId="0" fillId="0" borderId="0" xfId="0" applyFont="1" applyBorder="1" applyAlignment="1"/>
    <xf numFmtId="0" fontId="5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Speed (um/s) vs. Displacement (um)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Sheet1!$U$2</c:f>
              <c:strCache>
                <c:ptCount val="1"/>
                <c:pt idx="0">
                  <c:v>Speed (um/s)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Sheet1!$W$3:$W$8</c:f>
              <c:numCache>
                <c:formatCode>0.000</c:formatCode>
                <c:ptCount val="6"/>
                <c:pt idx="0">
                  <c:v>0.18931987784047424</c:v>
                </c:pt>
                <c:pt idx="1">
                  <c:v>0.34491359922611142</c:v>
                </c:pt>
                <c:pt idx="2">
                  <c:v>0.38630726675332783</c:v>
                </c:pt>
                <c:pt idx="3">
                  <c:v>0.59722290444426374</c:v>
                </c:pt>
                <c:pt idx="4">
                  <c:v>0.62966601480416218</c:v>
                </c:pt>
                <c:pt idx="5">
                  <c:v>0.86634124838641613</c:v>
                </c:pt>
              </c:numCache>
            </c:numRef>
          </c:xVal>
          <c:yVal>
            <c:numRef>
              <c:f>Sheet1!$U$3:$U$8</c:f>
              <c:numCache>
                <c:formatCode>0.000</c:formatCode>
                <c:ptCount val="6"/>
                <c:pt idx="0">
                  <c:v>32.087464088463157</c:v>
                </c:pt>
                <c:pt idx="1">
                  <c:v>35.504628471982777</c:v>
                </c:pt>
                <c:pt idx="2">
                  <c:v>43.952379469802189</c:v>
                </c:pt>
                <c:pt idx="3">
                  <c:v>65.978342161110575</c:v>
                </c:pt>
                <c:pt idx="4">
                  <c:v>52.663739962199166</c:v>
                </c:pt>
                <c:pt idx="5">
                  <c:v>68.602727641175605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BA-4DD4-982F-0C22491B5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646559"/>
        <c:axId val="45534550"/>
      </c:scatterChart>
      <c:valAx>
        <c:axId val="19096465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Displacement (um)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5534550"/>
        <c:crosses val="autoZero"/>
        <c:crossBetween val="midCat"/>
      </c:valAx>
      <c:valAx>
        <c:axId val="455345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Speed (um/s)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964655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vs DFV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Sheet1!$E$23</c:f>
              <c:strCache>
                <c:ptCount val="1"/>
                <c:pt idx="0">
                  <c:v>k hardcoded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1924825021872267"/>
                  <c:y val="0.218949829808386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Sheet1!$B$24:$B$29</c:f>
              <c:numCache>
                <c:formatCode>General</c:formatCode>
                <c:ptCount val="6"/>
                <c:pt idx="0">
                  <c:v>1420.6061210902571</c:v>
                </c:pt>
                <c:pt idx="1">
                  <c:v>1571.8940080549667</c:v>
                </c:pt>
                <c:pt idx="2">
                  <c:v>1945.9007149690055</c:v>
                </c:pt>
                <c:pt idx="3">
                  <c:v>2921.05466717642</c:v>
                </c:pt>
                <c:pt idx="4">
                  <c:v>2331.5781871557988</c:v>
                </c:pt>
                <c:pt idx="5">
                  <c:v>3037.2439075228153</c:v>
                </c:pt>
              </c:numCache>
            </c:numRef>
          </c:xVal>
          <c:yVal>
            <c:numRef>
              <c:f>Sheet1!$E$24:$E$29</c:f>
              <c:numCache>
                <c:formatCode>General</c:formatCode>
                <c:ptCount val="6"/>
                <c:pt idx="0">
                  <c:v>7.5037346172771995E-6</c:v>
                </c:pt>
                <c:pt idx="1">
                  <c:v>4.5573558467449594E-6</c:v>
                </c:pt>
                <c:pt idx="2">
                  <c:v>5.0371838234447153E-6</c:v>
                </c:pt>
                <c:pt idx="3">
                  <c:v>4.8910626927387544E-6</c:v>
                </c:pt>
                <c:pt idx="4">
                  <c:v>3.7028807849522623E-6</c:v>
                </c:pt>
                <c:pt idx="5">
                  <c:v>3.5058285787266438E-6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23-4E9F-988B-3D7A2D5F2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41880"/>
        <c:axId val="429871664"/>
      </c:scatterChart>
      <c:valAx>
        <c:axId val="53894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DFV (fN)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71664"/>
        <c:crosses val="autoZero"/>
        <c:crossBetween val="midCat"/>
      </c:valAx>
      <c:valAx>
        <c:axId val="4298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41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Drag Force Vis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5891357791345361"/>
                  <c:y val="-3.66893580073892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Sheet1!$Z$3:$Z$8</c:f>
                <c:numCache>
                  <c:formatCode>General</c:formatCode>
                  <c:ptCount val="6"/>
                  <c:pt idx="0">
                    <c:v>1.1170389007029731</c:v>
                  </c:pt>
                  <c:pt idx="1">
                    <c:v>0.7464814085293765</c:v>
                  </c:pt>
                  <c:pt idx="2">
                    <c:v>0.75399367863584132</c:v>
                  </c:pt>
                  <c:pt idx="3">
                    <c:v>0.71222463281881221</c:v>
                  </c:pt>
                  <c:pt idx="4">
                    <c:v>0.70187881308913913</c:v>
                  </c:pt>
                  <c:pt idx="5">
                    <c:v>0.911394252166003</c:v>
                  </c:pt>
                </c:numCache>
              </c:numRef>
            </c:plus>
            <c:minus>
              <c:numRef>
                <c:f>Sheet1!$Z$3:$Z$8</c:f>
                <c:numCache>
                  <c:formatCode>General</c:formatCode>
                  <c:ptCount val="6"/>
                  <c:pt idx="0">
                    <c:v>1.1170389007029731</c:v>
                  </c:pt>
                  <c:pt idx="1">
                    <c:v>0.7464814085293765</c:v>
                  </c:pt>
                  <c:pt idx="2">
                    <c:v>0.75399367863584132</c:v>
                  </c:pt>
                  <c:pt idx="3">
                    <c:v>0.71222463281881221</c:v>
                  </c:pt>
                  <c:pt idx="4">
                    <c:v>0.70187881308913913</c:v>
                  </c:pt>
                  <c:pt idx="5">
                    <c:v>0.911394252166003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Sheet1!$C$24:$C$29</c:f>
              <c:numCache>
                <c:formatCode>General</c:formatCode>
                <c:ptCount val="6"/>
                <c:pt idx="0">
                  <c:v>0.18931987784047424</c:v>
                </c:pt>
                <c:pt idx="1">
                  <c:v>0.34491359922611142</c:v>
                </c:pt>
                <c:pt idx="2">
                  <c:v>0.38630726675332783</c:v>
                </c:pt>
                <c:pt idx="3">
                  <c:v>0.59722290444426374</c:v>
                </c:pt>
                <c:pt idx="4">
                  <c:v>0.62966601480416218</c:v>
                </c:pt>
                <c:pt idx="5">
                  <c:v>0.86634124838641613</c:v>
                </c:pt>
              </c:numCache>
            </c:numRef>
          </c:xVal>
          <c:yVal>
            <c:numRef>
              <c:f>Sheet1!$Y$3:$Y$8</c:f>
              <c:numCache>
                <c:formatCode>0.000</c:formatCode>
                <c:ptCount val="6"/>
                <c:pt idx="0">
                  <c:v>1.4206061210902572</c:v>
                </c:pt>
                <c:pt idx="1">
                  <c:v>1.5718940080549666</c:v>
                </c:pt>
                <c:pt idx="2">
                  <c:v>1.9459007149690055</c:v>
                </c:pt>
                <c:pt idx="3">
                  <c:v>2.9210546671764201</c:v>
                </c:pt>
                <c:pt idx="4">
                  <c:v>2.3315781871557988</c:v>
                </c:pt>
                <c:pt idx="5">
                  <c:v>3.0372439075228153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CC-40B4-A2EF-0792373ED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772912"/>
        <c:axId val="665773240"/>
      </c:scatterChart>
      <c:valAx>
        <c:axId val="66577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(</a:t>
                </a:r>
                <a:r>
                  <a:rPr lang="en-US" sz="1000" b="0" i="0" u="none" strike="noStrike" baseline="0">
                    <a:effectLst/>
                  </a:rPr>
                  <a:t>μm)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773240"/>
        <c:crosses val="autoZero"/>
        <c:crossBetween val="midCat"/>
      </c:valAx>
      <c:valAx>
        <c:axId val="66577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Drag Force (pN)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77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873658</xdr:colOff>
      <xdr:row>22</xdr:row>
      <xdr:rowOff>8939</xdr:rowOff>
    </xdr:from>
    <xdr:ext cx="6894507" cy="275684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13</xdr:col>
      <xdr:colOff>183696</xdr:colOff>
      <xdr:row>23</xdr:row>
      <xdr:rowOff>136072</xdr:rowOff>
    </xdr:from>
    <xdr:to>
      <xdr:col>17</xdr:col>
      <xdr:colOff>578303</xdr:colOff>
      <xdr:row>40</xdr:row>
      <xdr:rowOff>72117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51541A-5A93-44D7-9576-3F103D177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401392</xdr:colOff>
      <xdr:row>13</xdr:row>
      <xdr:rowOff>115218</xdr:rowOff>
    </xdr:from>
    <xdr:to>
      <xdr:col>25</xdr:col>
      <xdr:colOff>366889</xdr:colOff>
      <xdr:row>29</xdr:row>
      <xdr:rowOff>14111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2E8CC1-EE0C-47B1-B8A0-79AB76131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34"/>
  <sheetViews>
    <sheetView tabSelected="1" topLeftCell="T1" zoomScale="70" zoomScaleNormal="70" workbookViewId="0">
      <selection activeCell="AE17" sqref="AE17"/>
    </sheetView>
  </sheetViews>
  <sheetFormatPr defaultColWidth="14.44140625" defaultRowHeight="15.75" customHeight="1" x14ac:dyDescent="0.25"/>
  <cols>
    <col min="2" max="2" width="17.6640625" customWidth="1"/>
    <col min="7" max="7" width="17.33203125" customWidth="1"/>
    <col min="11" max="11" width="19" customWidth="1"/>
    <col min="12" max="12" width="17.109375" customWidth="1"/>
    <col min="15" max="15" width="16.44140625" customWidth="1"/>
    <col min="16" max="16" width="17.109375" customWidth="1"/>
    <col min="20" max="20" width="7.5546875" bestFit="1" customWidth="1"/>
    <col min="21" max="21" width="15.33203125" bestFit="1" customWidth="1"/>
    <col min="22" max="22" width="20.5546875" bestFit="1" customWidth="1"/>
    <col min="23" max="23" width="18.6640625" bestFit="1" customWidth="1"/>
    <col min="24" max="24" width="17" bestFit="1" customWidth="1"/>
    <col min="25" max="25" width="16" bestFit="1" customWidth="1"/>
    <col min="26" max="26" width="22.88671875" bestFit="1" customWidth="1"/>
    <col min="27" max="27" width="20.109375" customWidth="1"/>
    <col min="30" max="30" width="21" bestFit="1" customWidth="1"/>
    <col min="31" max="31" width="16.88671875" bestFit="1" customWidth="1"/>
    <col min="32" max="32" width="18.33203125" bestFit="1" customWidth="1"/>
  </cols>
  <sheetData>
    <row r="1" spans="1:31" ht="13.2" x14ac:dyDescent="0.25">
      <c r="B1" s="1"/>
      <c r="C1" s="1"/>
      <c r="D1" s="1" t="s">
        <v>0</v>
      </c>
      <c r="F1" s="1" t="s">
        <v>1</v>
      </c>
      <c r="G1" s="1" t="s">
        <v>2</v>
      </c>
      <c r="H1" s="1"/>
      <c r="I1" s="12" t="s">
        <v>3</v>
      </c>
      <c r="J1" s="13"/>
      <c r="K1" s="12" t="s">
        <v>4</v>
      </c>
      <c r="L1" s="13"/>
      <c r="M1" s="13"/>
    </row>
    <row r="2" spans="1:31" ht="13.2" x14ac:dyDescent="0.25">
      <c r="B2" s="1"/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5</v>
      </c>
      <c r="I2" s="1" t="s">
        <v>6</v>
      </c>
      <c r="J2" s="1" t="s">
        <v>7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T2" s="10" t="s">
        <v>18</v>
      </c>
      <c r="U2" s="10" t="s">
        <v>17</v>
      </c>
      <c r="V2" s="10" t="s">
        <v>19</v>
      </c>
      <c r="W2" s="10" t="s">
        <v>15</v>
      </c>
      <c r="X2" s="10" t="s">
        <v>48</v>
      </c>
      <c r="Y2" s="10" t="s">
        <v>45</v>
      </c>
      <c r="Z2" s="10" t="s">
        <v>47</v>
      </c>
      <c r="AA2" s="4" t="s">
        <v>46</v>
      </c>
      <c r="AB2" s="17" t="s">
        <v>51</v>
      </c>
    </row>
    <row r="3" spans="1:31" ht="13.2" x14ac:dyDescent="0.25">
      <c r="A3" s="1" t="s">
        <v>20</v>
      </c>
      <c r="B3" s="1">
        <v>1</v>
      </c>
      <c r="C3" s="1">
        <v>1</v>
      </c>
      <c r="D3" s="1">
        <v>476.04</v>
      </c>
      <c r="E3" s="1">
        <v>208.46</v>
      </c>
      <c r="F3" s="1">
        <v>42.97</v>
      </c>
      <c r="G3" s="1">
        <v>1.49</v>
      </c>
      <c r="H3" s="1">
        <v>113</v>
      </c>
      <c r="I3" s="1">
        <v>479.11</v>
      </c>
      <c r="J3" s="1">
        <v>209.54</v>
      </c>
      <c r="K3" s="1">
        <v>113</v>
      </c>
      <c r="L3" s="1">
        <v>259.92</v>
      </c>
      <c r="M3" s="1">
        <v>272.70999999999998</v>
      </c>
      <c r="N3" s="2">
        <f>1/30</f>
        <v>3.3333333333333333E-2</v>
      </c>
      <c r="O3" s="2">
        <f t="shared" ref="O3:O21" si="0">I3-D3</f>
        <v>3.0699999999999932</v>
      </c>
      <c r="P3" s="2">
        <f>O3*(4.69/(2*F3))</f>
        <v>0.16753898068419792</v>
      </c>
      <c r="Q3" s="2">
        <f t="shared" ref="Q3:Q21" si="1">(M3-L3)/N3</f>
        <v>383.69999999999891</v>
      </c>
      <c r="R3" s="2">
        <f>Q3*4.69/2/F3</f>
        <v>20.939643937630848</v>
      </c>
      <c r="T3" s="10" t="s">
        <v>20</v>
      </c>
      <c r="U3" s="8">
        <f>AVERAGE($R$3:$R$5)</f>
        <v>32.087464088463157</v>
      </c>
      <c r="V3" s="6">
        <f>STDEV(R3:R5)/SQRT(3)</f>
        <v>13.878014762771567</v>
      </c>
      <c r="W3" s="7">
        <f>AVERAGE($P$3:$P$5)</f>
        <v>0.18931987784047424</v>
      </c>
      <c r="X3" s="7">
        <f>STDEV(P3:P5)</f>
        <v>3.3296485617643416E-2</v>
      </c>
      <c r="Y3" s="9">
        <f>$B$24*10^-3</f>
        <v>1.4206061210902572</v>
      </c>
      <c r="Z3" s="9">
        <f>AA3*10^-3</f>
        <v>1.1170389007029731</v>
      </c>
      <c r="AA3">
        <f>SQRT((6*PI()*1.0016)^2 * (0.23^2 * U3^2 + V3^2 * 4.23^2))</f>
        <v>1117.038900702973</v>
      </c>
      <c r="AB3">
        <f>W3*4.0972</f>
        <v>0.77568140348799108</v>
      </c>
      <c r="AD3" t="s">
        <v>52</v>
      </c>
      <c r="AE3" t="s">
        <v>53</v>
      </c>
    </row>
    <row r="4" spans="1:31" ht="13.2" x14ac:dyDescent="0.25">
      <c r="B4" s="1">
        <v>2</v>
      </c>
      <c r="C4" s="1">
        <v>1</v>
      </c>
      <c r="D4" s="1">
        <v>476.31</v>
      </c>
      <c r="E4" s="1">
        <v>209.76</v>
      </c>
      <c r="F4" s="1">
        <v>42.89</v>
      </c>
      <c r="G4" s="1">
        <v>1.6</v>
      </c>
      <c r="H4" s="1">
        <v>100</v>
      </c>
      <c r="I4" s="1">
        <v>479.47</v>
      </c>
      <c r="J4" s="1">
        <v>210.05</v>
      </c>
      <c r="K4" s="1">
        <v>100</v>
      </c>
      <c r="L4" s="1">
        <v>181.75</v>
      </c>
      <c r="M4" s="1">
        <v>191.29</v>
      </c>
      <c r="N4" s="2">
        <f t="shared" ref="N4:N21" si="2">1/30</f>
        <v>3.3333333333333333E-2</v>
      </c>
      <c r="O4" s="2">
        <f t="shared" si="0"/>
        <v>3.160000000000025</v>
      </c>
      <c r="P4" s="2">
        <f t="shared" ref="P4:P21" si="3">O4*(4.69/(2*F4))</f>
        <v>0.17277220797388806</v>
      </c>
      <c r="Q4" s="2">
        <f t="shared" si="1"/>
        <v>286.19999999999976</v>
      </c>
      <c r="R4" s="2">
        <f t="shared" ref="R4:R21" si="4">Q4*4.69/2/F4</f>
        <v>15.647913266495673</v>
      </c>
      <c r="T4" s="10" t="s">
        <v>21</v>
      </c>
      <c r="U4" s="8">
        <f>AVERAGE($R$6:$R$8)</f>
        <v>35.504628471982777</v>
      </c>
      <c r="V4" s="8">
        <f>STDEV($R$6:$R$8)/SQRT(3)</f>
        <v>9.145705985372798</v>
      </c>
      <c r="W4" s="8">
        <f>AVERAGE($P$6:$P$8)</f>
        <v>0.34491359922611142</v>
      </c>
      <c r="X4" s="8">
        <f>STDEV(P6:P8)</f>
        <v>7.0663033592659005E-2</v>
      </c>
      <c r="Y4" s="9">
        <f>$B$25*10^-3</f>
        <v>1.5718940080549666</v>
      </c>
      <c r="Z4" s="9">
        <f t="shared" ref="Z4:Z9" si="5">AA4*10^-3</f>
        <v>0.7464814085293765</v>
      </c>
      <c r="AA4" s="5">
        <f t="shared" ref="AA4:AA9" si="6">SQRT((6*PI()*1.0016)^2 * (0.23^2 * U4^2 + V4^2 * 4.23^2))</f>
        <v>746.48140852937649</v>
      </c>
      <c r="AB4" s="11">
        <f t="shared" ref="AB4:AB9" si="7">W4*4.0972</f>
        <v>1.4131799987492237</v>
      </c>
    </row>
    <row r="5" spans="1:31" ht="13.2" x14ac:dyDescent="0.25">
      <c r="B5" s="1">
        <v>3</v>
      </c>
      <c r="C5" s="1">
        <v>1</v>
      </c>
      <c r="D5" s="1">
        <v>476.18</v>
      </c>
      <c r="E5" s="1">
        <v>209.85</v>
      </c>
      <c r="F5" s="1">
        <v>42.44</v>
      </c>
      <c r="G5" s="1">
        <v>0.17</v>
      </c>
      <c r="H5" s="1">
        <v>165</v>
      </c>
      <c r="I5" s="1">
        <v>480.3</v>
      </c>
      <c r="J5" s="1">
        <v>209.92</v>
      </c>
      <c r="K5" s="1">
        <v>188</v>
      </c>
      <c r="L5" s="1">
        <v>261</v>
      </c>
      <c r="M5" s="1">
        <v>297</v>
      </c>
      <c r="N5" s="2">
        <f t="shared" si="2"/>
        <v>3.3333333333333333E-2</v>
      </c>
      <c r="O5" s="2">
        <f t="shared" si="0"/>
        <v>4.1200000000000045</v>
      </c>
      <c r="P5" s="2">
        <f t="shared" si="3"/>
        <v>0.22764844486333677</v>
      </c>
      <c r="Q5" s="2">
        <f t="shared" si="1"/>
        <v>1080</v>
      </c>
      <c r="R5" s="2">
        <f t="shared" si="4"/>
        <v>59.674835061262968</v>
      </c>
      <c r="T5" s="10" t="s">
        <v>22</v>
      </c>
      <c r="U5" s="8">
        <f>AVERAGE($R$9:$R$11)</f>
        <v>43.952379469802189</v>
      </c>
      <c r="V5" s="8">
        <f>STDEV($R$9:$R$11)/SQRT(3)</f>
        <v>9.1338285864266648</v>
      </c>
      <c r="W5" s="8">
        <f>AVERAGE($P$9:$P$11)</f>
        <v>0.38630726675332783</v>
      </c>
      <c r="X5" s="8">
        <f>STDEV(P9:P11)</f>
        <v>0.10181317262242401</v>
      </c>
      <c r="Y5" s="9">
        <f>$B$26*10^-3</f>
        <v>1.9459007149690055</v>
      </c>
      <c r="Z5" s="9">
        <f t="shared" si="5"/>
        <v>0.75399367863584132</v>
      </c>
      <c r="AA5" s="5">
        <f t="shared" si="6"/>
        <v>753.99367863584132</v>
      </c>
      <c r="AB5" s="11">
        <f t="shared" si="7"/>
        <v>1.5827781333417348</v>
      </c>
    </row>
    <row r="6" spans="1:31" ht="13.2" x14ac:dyDescent="0.25">
      <c r="A6" s="1" t="s">
        <v>21</v>
      </c>
      <c r="B6" s="1">
        <v>1</v>
      </c>
      <c r="C6" s="1">
        <v>1</v>
      </c>
      <c r="D6" s="1">
        <v>475.9</v>
      </c>
      <c r="E6" s="1">
        <v>209.83</v>
      </c>
      <c r="F6" s="1">
        <v>42.53</v>
      </c>
      <c r="G6" s="1">
        <v>0.17</v>
      </c>
      <c r="H6" s="1">
        <v>79</v>
      </c>
      <c r="I6" s="1">
        <v>483.15</v>
      </c>
      <c r="J6" s="1">
        <v>210.6</v>
      </c>
      <c r="K6" s="1">
        <v>79</v>
      </c>
      <c r="L6" s="1">
        <v>128.5</v>
      </c>
      <c r="M6" s="1">
        <v>146.78</v>
      </c>
      <c r="N6" s="2">
        <f t="shared" si="2"/>
        <v>3.3333333333333333E-2</v>
      </c>
      <c r="O6" s="2">
        <f t="shared" si="0"/>
        <v>7.25</v>
      </c>
      <c r="P6" s="2">
        <f t="shared" si="3"/>
        <v>0.39974723724429817</v>
      </c>
      <c r="Q6" s="2">
        <f t="shared" si="1"/>
        <v>548.40000000000009</v>
      </c>
      <c r="R6" s="2">
        <f t="shared" si="4"/>
        <v>30.237432400658363</v>
      </c>
      <c r="T6" s="10" t="s">
        <v>23</v>
      </c>
      <c r="U6" s="8">
        <f>AVERAGE($R$12:$R$14)</f>
        <v>65.978342161110575</v>
      </c>
      <c r="V6" s="8">
        <f>STDEV($R$12:$R$14)/SQRT(3)</f>
        <v>8.1649109987220747</v>
      </c>
      <c r="W6" s="8">
        <f>AVERAGE($P$12:$P$14)</f>
        <v>0.59722290444426374</v>
      </c>
      <c r="X6" s="8">
        <f>STDEV(P12:P14)</f>
        <v>2.9851891383622202E-2</v>
      </c>
      <c r="Y6" s="9">
        <f>$B$27*10^-3</f>
        <v>2.9210546671764201</v>
      </c>
      <c r="Z6" s="9">
        <f t="shared" si="5"/>
        <v>0.71222463281881221</v>
      </c>
      <c r="AA6" s="5">
        <f t="shared" si="6"/>
        <v>712.22463281881221</v>
      </c>
      <c r="AB6" s="11">
        <f t="shared" si="7"/>
        <v>2.4469416840890372</v>
      </c>
    </row>
    <row r="7" spans="1:31" ht="13.2" x14ac:dyDescent="0.25">
      <c r="B7" s="1">
        <v>2</v>
      </c>
      <c r="C7" s="1">
        <v>1</v>
      </c>
      <c r="D7" s="1">
        <v>475.36</v>
      </c>
      <c r="E7" s="1">
        <v>209.2</v>
      </c>
      <c r="F7" s="1">
        <v>42.23</v>
      </c>
      <c r="G7" s="1">
        <v>1</v>
      </c>
      <c r="H7" s="1">
        <v>182</v>
      </c>
      <c r="I7" s="1">
        <v>482.02</v>
      </c>
      <c r="J7" s="1">
        <v>209.5</v>
      </c>
      <c r="K7" s="1">
        <v>100</v>
      </c>
      <c r="L7" s="1">
        <v>73</v>
      </c>
      <c r="M7" s="1">
        <v>105</v>
      </c>
      <c r="N7" s="2">
        <f t="shared" si="2"/>
        <v>3.3333333333333333E-2</v>
      </c>
      <c r="O7" s="2">
        <f t="shared" si="0"/>
        <v>6.6599999999999682</v>
      </c>
      <c r="P7" s="2">
        <f t="shared" si="3"/>
        <v>0.36982476912147594</v>
      </c>
      <c r="Q7" s="2">
        <f t="shared" si="1"/>
        <v>960</v>
      </c>
      <c r="R7" s="2">
        <f t="shared" si="4"/>
        <v>53.308074828321111</v>
      </c>
      <c r="T7" s="10" t="s">
        <v>24</v>
      </c>
      <c r="U7" s="8">
        <f>AVERAGE($R$15:$R$17)</f>
        <v>52.663739962199166</v>
      </c>
      <c r="V7" s="8">
        <f>STDEV($R$15:$R$17)/SQRT(3)</f>
        <v>8.3091600427669583</v>
      </c>
      <c r="W7" s="8">
        <f>AVERAGE($P$15:$P$17)</f>
        <v>0.62966601480416218</v>
      </c>
      <c r="X7" s="8">
        <f>STDEV(P15:P17)</f>
        <v>5.3995928869825335E-2</v>
      </c>
      <c r="Y7" s="9">
        <f>$B$28*10^-3</f>
        <v>2.3315781871557988</v>
      </c>
      <c r="Z7" s="9">
        <f t="shared" si="5"/>
        <v>0.70187881308913913</v>
      </c>
      <c r="AA7" s="5">
        <f t="shared" si="6"/>
        <v>701.87881308913916</v>
      </c>
      <c r="AB7" s="11">
        <f t="shared" si="7"/>
        <v>2.5798675958556134</v>
      </c>
    </row>
    <row r="8" spans="1:31" ht="13.2" x14ac:dyDescent="0.25">
      <c r="B8" s="1">
        <v>3</v>
      </c>
      <c r="C8" s="1">
        <v>1</v>
      </c>
      <c r="D8" s="1">
        <v>475.82</v>
      </c>
      <c r="E8" s="1">
        <v>208.86</v>
      </c>
      <c r="F8" s="1">
        <v>42.36</v>
      </c>
      <c r="G8" s="1">
        <v>0.26</v>
      </c>
      <c r="H8" s="1">
        <v>194</v>
      </c>
      <c r="I8" s="1">
        <v>480.61</v>
      </c>
      <c r="J8" s="1">
        <v>209.45</v>
      </c>
      <c r="K8" s="1">
        <v>194</v>
      </c>
      <c r="L8" s="1">
        <v>211.85</v>
      </c>
      <c r="M8" s="1">
        <v>225.68</v>
      </c>
      <c r="N8" s="2">
        <f t="shared" si="2"/>
        <v>3.3333333333333333E-2</v>
      </c>
      <c r="O8" s="2">
        <f t="shared" si="0"/>
        <v>4.7900000000000205</v>
      </c>
      <c r="P8" s="2">
        <f t="shared" si="3"/>
        <v>0.26516879131256021</v>
      </c>
      <c r="Q8" s="2">
        <f t="shared" si="1"/>
        <v>414.90000000000038</v>
      </c>
      <c r="R8" s="2">
        <f t="shared" si="4"/>
        <v>22.968378186968863</v>
      </c>
      <c r="T8" s="10" t="s">
        <v>25</v>
      </c>
      <c r="U8" s="8">
        <f>AVERAGE($R$18:$R$20)</f>
        <v>68.602727641175605</v>
      </c>
      <c r="V8" s="8">
        <f>STDEV($R$18:$R$20)/SQRT(3)</f>
        <v>10.785397013021047</v>
      </c>
      <c r="W8" s="8">
        <f>AVERAGE($P$18:$P$20)</f>
        <v>0.86634124838641613</v>
      </c>
      <c r="X8" s="8">
        <f>STDEV(P18:P20)</f>
        <v>8.8682858829434941E-2</v>
      </c>
      <c r="Y8" s="9">
        <f>$B$29*10^-3</f>
        <v>3.0372439075228153</v>
      </c>
      <c r="Z8" s="9">
        <f t="shared" si="5"/>
        <v>0.911394252166003</v>
      </c>
      <c r="AA8" s="5">
        <f t="shared" si="6"/>
        <v>911.39425216600296</v>
      </c>
      <c r="AB8" s="11">
        <f t="shared" si="7"/>
        <v>3.549573362888824</v>
      </c>
    </row>
    <row r="9" spans="1:31" ht="13.2" x14ac:dyDescent="0.25">
      <c r="A9" s="1" t="s">
        <v>22</v>
      </c>
      <c r="B9" s="1">
        <v>1</v>
      </c>
      <c r="C9" s="1">
        <v>1</v>
      </c>
      <c r="D9" s="1">
        <v>475.75</v>
      </c>
      <c r="E9" s="1">
        <v>208.77</v>
      </c>
      <c r="F9" s="1">
        <v>42.32</v>
      </c>
      <c r="G9" s="1">
        <v>0.28999999999999998</v>
      </c>
      <c r="H9" s="1">
        <v>63</v>
      </c>
      <c r="I9" s="1">
        <v>484.84</v>
      </c>
      <c r="J9" s="1">
        <v>210.23</v>
      </c>
      <c r="K9" s="1">
        <v>63</v>
      </c>
      <c r="L9" s="1">
        <v>300.27</v>
      </c>
      <c r="M9" s="1">
        <v>337.53</v>
      </c>
      <c r="N9" s="2">
        <f t="shared" si="2"/>
        <v>3.3333333333333333E-2</v>
      </c>
      <c r="O9" s="2">
        <f t="shared" si="0"/>
        <v>9.089999999999975</v>
      </c>
      <c r="P9" s="2">
        <f t="shared" si="3"/>
        <v>0.50368738185255058</v>
      </c>
      <c r="Q9" s="2">
        <f t="shared" si="1"/>
        <v>1117.7999999999997</v>
      </c>
      <c r="R9" s="2">
        <f t="shared" si="4"/>
        <v>61.938586956521725</v>
      </c>
      <c r="T9" s="16" t="s">
        <v>50</v>
      </c>
      <c r="U9">
        <f>R21</f>
        <v>112.70803443328552</v>
      </c>
      <c r="W9">
        <f>$P$21</f>
        <v>1.0160545193687234</v>
      </c>
      <c r="Y9" s="9">
        <f t="shared" ref="Y3:Y9" si="8">B30*10^-3</f>
        <v>4.9899151634592638</v>
      </c>
      <c r="Z9" s="9">
        <f t="shared" si="5"/>
        <v>0.48941598618150561</v>
      </c>
      <c r="AA9" s="11">
        <f t="shared" si="6"/>
        <v>489.41598618150562</v>
      </c>
      <c r="AB9" s="11">
        <f t="shared" si="7"/>
        <v>4.1629785767575331</v>
      </c>
    </row>
    <row r="10" spans="1:31" ht="13.2" x14ac:dyDescent="0.25">
      <c r="B10" s="1">
        <v>2</v>
      </c>
      <c r="C10" s="1">
        <v>208</v>
      </c>
      <c r="D10" s="1">
        <v>477.39</v>
      </c>
      <c r="E10" s="1">
        <v>210.29</v>
      </c>
      <c r="F10" s="1">
        <v>41.51</v>
      </c>
      <c r="G10" s="1">
        <v>0.21</v>
      </c>
      <c r="H10" s="1">
        <v>41</v>
      </c>
      <c r="I10" s="1">
        <v>483.29</v>
      </c>
      <c r="J10" s="1">
        <v>210.12</v>
      </c>
      <c r="K10" s="1">
        <v>41</v>
      </c>
      <c r="L10" s="1">
        <v>104</v>
      </c>
      <c r="M10" s="1">
        <v>126.26</v>
      </c>
      <c r="N10" s="2">
        <f t="shared" si="2"/>
        <v>3.3333333333333333E-2</v>
      </c>
      <c r="O10" s="2">
        <f t="shared" si="0"/>
        <v>5.9000000000000341</v>
      </c>
      <c r="P10" s="2">
        <f t="shared" si="3"/>
        <v>0.33330522765598847</v>
      </c>
      <c r="Q10" s="2">
        <f t="shared" si="1"/>
        <v>667.80000000000018</v>
      </c>
      <c r="R10" s="2">
        <f t="shared" si="4"/>
        <v>37.725632377740318</v>
      </c>
      <c r="T10" s="14" t="s">
        <v>49</v>
      </c>
      <c r="U10" s="15"/>
      <c r="V10" s="15"/>
      <c r="W10" s="15"/>
      <c r="X10" s="15"/>
      <c r="Y10" s="15"/>
      <c r="Z10" s="15"/>
    </row>
    <row r="11" spans="1:31" ht="13.2" x14ac:dyDescent="0.25">
      <c r="B11" s="1">
        <v>3</v>
      </c>
      <c r="C11" s="1">
        <v>1</v>
      </c>
      <c r="D11" s="1">
        <v>477.22</v>
      </c>
      <c r="E11" s="1">
        <v>210.39</v>
      </c>
      <c r="F11" s="1">
        <v>41.52</v>
      </c>
      <c r="G11" s="1">
        <v>0.21</v>
      </c>
      <c r="H11" s="1">
        <v>143</v>
      </c>
      <c r="I11" s="1">
        <v>482.92</v>
      </c>
      <c r="J11" s="1">
        <v>209.66</v>
      </c>
      <c r="K11" s="1">
        <v>143</v>
      </c>
      <c r="L11" s="1">
        <v>195</v>
      </c>
      <c r="M11" s="1">
        <v>214</v>
      </c>
      <c r="N11" s="2">
        <f t="shared" si="2"/>
        <v>3.3333333333333333E-2</v>
      </c>
      <c r="O11" s="2">
        <f t="shared" si="0"/>
        <v>5.6999999999999886</v>
      </c>
      <c r="P11" s="2">
        <f t="shared" si="3"/>
        <v>0.32192919075144444</v>
      </c>
      <c r="Q11" s="2">
        <f t="shared" si="1"/>
        <v>570</v>
      </c>
      <c r="R11" s="2">
        <f t="shared" si="4"/>
        <v>32.192919075144509</v>
      </c>
    </row>
    <row r="12" spans="1:31" ht="13.2" x14ac:dyDescent="0.25">
      <c r="A12" s="1" t="s">
        <v>23</v>
      </c>
      <c r="B12" s="3">
        <v>44202</v>
      </c>
      <c r="C12" s="1">
        <v>1</v>
      </c>
      <c r="D12" s="1">
        <v>476.17</v>
      </c>
      <c r="E12" s="1">
        <v>209.17</v>
      </c>
      <c r="F12" s="1">
        <v>42.12</v>
      </c>
      <c r="G12" s="1">
        <v>0.17</v>
      </c>
      <c r="H12" s="1">
        <v>337</v>
      </c>
      <c r="I12" s="1">
        <v>487.41</v>
      </c>
      <c r="J12" s="1">
        <v>209.31</v>
      </c>
      <c r="K12" s="1">
        <v>337</v>
      </c>
      <c r="L12" s="1">
        <v>226</v>
      </c>
      <c r="M12" s="1">
        <v>275</v>
      </c>
      <c r="N12" s="2">
        <f t="shared" si="2"/>
        <v>3.3333333333333333E-2</v>
      </c>
      <c r="O12" s="2">
        <f t="shared" si="0"/>
        <v>11.240000000000009</v>
      </c>
      <c r="P12" s="2">
        <f t="shared" si="3"/>
        <v>0.62577872744539464</v>
      </c>
      <c r="Q12" s="2">
        <f t="shared" si="1"/>
        <v>1470</v>
      </c>
      <c r="R12" s="2">
        <f t="shared" si="4"/>
        <v>81.8411680911681</v>
      </c>
    </row>
    <row r="13" spans="1:31" ht="13.2" x14ac:dyDescent="0.25">
      <c r="B13" s="1">
        <v>2</v>
      </c>
      <c r="C13" s="1">
        <v>1</v>
      </c>
      <c r="D13" s="1">
        <v>476.01</v>
      </c>
      <c r="E13" s="1">
        <v>208.47</v>
      </c>
      <c r="F13" s="1">
        <v>42.45</v>
      </c>
      <c r="G13" s="1">
        <v>0.15</v>
      </c>
      <c r="H13" s="1">
        <v>61</v>
      </c>
      <c r="I13" s="1">
        <v>486.26</v>
      </c>
      <c r="J13" s="1">
        <v>209.38</v>
      </c>
      <c r="K13" s="1">
        <v>62</v>
      </c>
      <c r="L13" s="1">
        <v>181</v>
      </c>
      <c r="M13" s="1">
        <v>214</v>
      </c>
      <c r="N13" s="2">
        <f t="shared" si="2"/>
        <v>3.3333333333333333E-2</v>
      </c>
      <c r="O13" s="2">
        <f t="shared" si="0"/>
        <v>10.25</v>
      </c>
      <c r="P13" s="2">
        <f t="shared" si="3"/>
        <v>0.56622497055359244</v>
      </c>
      <c r="Q13" s="2">
        <f t="shared" si="1"/>
        <v>990</v>
      </c>
      <c r="R13" s="2">
        <f t="shared" si="4"/>
        <v>54.689045936395758</v>
      </c>
    </row>
    <row r="14" spans="1:31" ht="13.2" x14ac:dyDescent="0.25">
      <c r="B14" s="1">
        <v>3</v>
      </c>
      <c r="C14" s="1">
        <v>1</v>
      </c>
      <c r="D14" s="1">
        <v>476.1</v>
      </c>
      <c r="E14" s="1">
        <v>208.73</v>
      </c>
      <c r="F14" s="1">
        <v>42.39</v>
      </c>
      <c r="G14" s="1">
        <v>0.18</v>
      </c>
      <c r="H14" s="1">
        <v>158</v>
      </c>
      <c r="I14" s="1">
        <v>486.94</v>
      </c>
      <c r="J14" s="1">
        <v>209.18</v>
      </c>
      <c r="K14" s="1">
        <v>158</v>
      </c>
      <c r="L14" s="1">
        <v>108</v>
      </c>
      <c r="M14" s="1">
        <v>145</v>
      </c>
      <c r="N14" s="2">
        <f t="shared" si="2"/>
        <v>3.3333333333333333E-2</v>
      </c>
      <c r="O14" s="2">
        <f t="shared" si="0"/>
        <v>10.839999999999975</v>
      </c>
      <c r="P14" s="2">
        <f t="shared" si="3"/>
        <v>0.59966501533380379</v>
      </c>
      <c r="Q14" s="2">
        <f t="shared" si="1"/>
        <v>1110</v>
      </c>
      <c r="R14" s="2">
        <f t="shared" si="4"/>
        <v>61.404812455767875</v>
      </c>
    </row>
    <row r="15" spans="1:31" ht="13.2" x14ac:dyDescent="0.25">
      <c r="A15" s="1" t="s">
        <v>24</v>
      </c>
      <c r="B15" s="1">
        <v>1</v>
      </c>
      <c r="C15" s="1">
        <v>1</v>
      </c>
      <c r="D15" s="1">
        <v>477.11</v>
      </c>
      <c r="E15" s="1">
        <v>210.1</v>
      </c>
      <c r="F15" s="1">
        <v>43.08</v>
      </c>
      <c r="G15" s="1">
        <v>1.39</v>
      </c>
      <c r="H15" s="1">
        <v>78</v>
      </c>
      <c r="I15" s="1">
        <v>487.54</v>
      </c>
      <c r="J15" s="1">
        <v>209.58</v>
      </c>
      <c r="K15" s="1">
        <v>78</v>
      </c>
      <c r="L15" s="1">
        <v>208</v>
      </c>
      <c r="M15" s="1">
        <v>247</v>
      </c>
      <c r="N15" s="2">
        <f t="shared" si="2"/>
        <v>3.3333333333333333E-2</v>
      </c>
      <c r="O15" s="2">
        <f t="shared" si="0"/>
        <v>10.430000000000007</v>
      </c>
      <c r="P15" s="2">
        <f t="shared" si="3"/>
        <v>0.56774257195914624</v>
      </c>
      <c r="Q15" s="2">
        <f t="shared" si="1"/>
        <v>1170</v>
      </c>
      <c r="R15" s="2">
        <f t="shared" si="4"/>
        <v>63.687325905292482</v>
      </c>
    </row>
    <row r="16" spans="1:31" ht="13.2" x14ac:dyDescent="0.25">
      <c r="B16" s="1">
        <v>2</v>
      </c>
      <c r="C16" s="1">
        <v>1</v>
      </c>
      <c r="D16" s="1">
        <v>476.12</v>
      </c>
      <c r="E16" s="1">
        <v>208.58</v>
      </c>
      <c r="F16" s="1">
        <v>42.51</v>
      </c>
      <c r="G16" s="1">
        <v>0.16</v>
      </c>
      <c r="H16" s="1">
        <v>23</v>
      </c>
      <c r="I16" s="1">
        <v>488.21</v>
      </c>
      <c r="J16" s="1">
        <v>209.09</v>
      </c>
      <c r="K16" s="1">
        <v>21</v>
      </c>
      <c r="L16" s="1">
        <v>372</v>
      </c>
      <c r="M16" s="1">
        <v>407</v>
      </c>
      <c r="N16" s="2">
        <f t="shared" si="2"/>
        <v>3.3333333333333333E-2</v>
      </c>
      <c r="O16" s="2">
        <f t="shared" si="0"/>
        <v>12.089999999999975</v>
      </c>
      <c r="P16" s="2">
        <f t="shared" si="3"/>
        <v>0.66692660550458582</v>
      </c>
      <c r="Q16" s="2">
        <f t="shared" si="1"/>
        <v>1050</v>
      </c>
      <c r="R16" s="2">
        <f t="shared" si="4"/>
        <v>57.921665490472833</v>
      </c>
    </row>
    <row r="17" spans="1:32" ht="13.2" x14ac:dyDescent="0.25">
      <c r="B17" s="1">
        <v>3</v>
      </c>
      <c r="C17" s="1">
        <v>133</v>
      </c>
      <c r="D17" s="1">
        <v>475.87</v>
      </c>
      <c r="E17" s="1">
        <v>208.45</v>
      </c>
      <c r="F17" s="1">
        <v>42.54</v>
      </c>
      <c r="G17" s="1">
        <v>0.17</v>
      </c>
      <c r="H17" s="1">
        <v>75</v>
      </c>
      <c r="I17" s="1">
        <v>487.74</v>
      </c>
      <c r="J17" s="1">
        <v>209.15</v>
      </c>
      <c r="K17" s="1">
        <v>75</v>
      </c>
      <c r="L17" s="1">
        <v>170</v>
      </c>
      <c r="M17" s="1">
        <v>192</v>
      </c>
      <c r="N17" s="2">
        <f t="shared" si="2"/>
        <v>3.3333333333333333E-2</v>
      </c>
      <c r="O17" s="2">
        <f t="shared" si="0"/>
        <v>11.870000000000005</v>
      </c>
      <c r="P17" s="2">
        <f t="shared" si="3"/>
        <v>0.65432886694875447</v>
      </c>
      <c r="Q17" s="2">
        <f t="shared" si="1"/>
        <v>660</v>
      </c>
      <c r="R17" s="2">
        <f t="shared" si="4"/>
        <v>36.382228490832162</v>
      </c>
      <c r="AC17" s="10" t="s">
        <v>17</v>
      </c>
      <c r="AD17" s="10" t="s">
        <v>15</v>
      </c>
      <c r="AE17" s="20" t="s">
        <v>54</v>
      </c>
      <c r="AF17" s="10" t="s">
        <v>45</v>
      </c>
    </row>
    <row r="18" spans="1:32" ht="13.2" x14ac:dyDescent="0.25">
      <c r="A18" s="1" t="s">
        <v>25</v>
      </c>
      <c r="B18" s="1">
        <v>1</v>
      </c>
      <c r="C18" s="1">
        <v>1</v>
      </c>
      <c r="D18" s="1">
        <v>475.86</v>
      </c>
      <c r="E18" s="1">
        <v>208.65</v>
      </c>
      <c r="F18" s="1">
        <v>42.58</v>
      </c>
      <c r="G18" s="1">
        <v>0.17</v>
      </c>
      <c r="H18" s="1">
        <v>95</v>
      </c>
      <c r="I18" s="1">
        <v>493.42</v>
      </c>
      <c r="J18" s="1">
        <v>209.43</v>
      </c>
      <c r="K18" s="1">
        <v>95</v>
      </c>
      <c r="L18" s="1">
        <v>202</v>
      </c>
      <c r="M18" s="1">
        <v>236</v>
      </c>
      <c r="N18" s="2">
        <f t="shared" si="2"/>
        <v>3.3333333333333333E-2</v>
      </c>
      <c r="O18" s="2">
        <f t="shared" si="0"/>
        <v>17.560000000000002</v>
      </c>
      <c r="P18" s="2">
        <f t="shared" si="3"/>
        <v>0.9670784405824332</v>
      </c>
      <c r="Q18" s="2">
        <f t="shared" si="1"/>
        <v>1020</v>
      </c>
      <c r="R18" s="2">
        <f t="shared" si="4"/>
        <v>56.174260216063885</v>
      </c>
      <c r="AC18" s="8">
        <f>AVERAGE($R$3:$R$5)</f>
        <v>32.087464088463157</v>
      </c>
      <c r="AD18" s="7">
        <f>AVERAGE($P$3:$P$5)</f>
        <v>0.18931987784047424</v>
      </c>
      <c r="AE18" s="18">
        <f>AD18*4.0972</f>
        <v>0.77568140348799108</v>
      </c>
      <c r="AF18" s="9">
        <f>$B$24*10^-3</f>
        <v>1.4206061210902572</v>
      </c>
    </row>
    <row r="19" spans="1:32" ht="13.2" x14ac:dyDescent="0.25">
      <c r="B19" s="1">
        <v>2</v>
      </c>
      <c r="C19" s="1">
        <v>1</v>
      </c>
      <c r="D19" s="1">
        <v>476.14</v>
      </c>
      <c r="E19" s="1">
        <v>208.66</v>
      </c>
      <c r="F19" s="1">
        <v>42.53</v>
      </c>
      <c r="G19" s="1">
        <v>0.16</v>
      </c>
      <c r="H19" s="1">
        <v>101</v>
      </c>
      <c r="I19" s="1">
        <v>490.65</v>
      </c>
      <c r="J19" s="1">
        <v>209.35</v>
      </c>
      <c r="K19" s="1">
        <v>101</v>
      </c>
      <c r="L19" s="1">
        <v>191</v>
      </c>
      <c r="M19" s="1">
        <v>227</v>
      </c>
      <c r="N19" s="2">
        <f t="shared" si="2"/>
        <v>3.3333333333333333E-2</v>
      </c>
      <c r="O19" s="2">
        <f t="shared" si="0"/>
        <v>14.509999999999991</v>
      </c>
      <c r="P19" s="2">
        <f t="shared" si="3"/>
        <v>0.80004584998824313</v>
      </c>
      <c r="Q19" s="2">
        <f t="shared" si="1"/>
        <v>1080</v>
      </c>
      <c r="R19" s="2">
        <f t="shared" si="4"/>
        <v>59.548553961909249</v>
      </c>
      <c r="AC19" s="8">
        <f>AVERAGE($R$6:$R$8)</f>
        <v>35.504628471982777</v>
      </c>
      <c r="AD19" s="8">
        <f>AVERAGE($P$6:$P$8)</f>
        <v>0.34491359922611142</v>
      </c>
      <c r="AE19" s="18">
        <f t="shared" ref="AE19:AE23" si="9">AD19*4.0972</f>
        <v>1.4131799987492237</v>
      </c>
      <c r="AF19" s="9">
        <f>$B$25*10^-3</f>
        <v>1.5718940080549666</v>
      </c>
    </row>
    <row r="20" spans="1:32" ht="13.2" x14ac:dyDescent="0.25">
      <c r="B20" s="1">
        <v>3</v>
      </c>
      <c r="C20" s="1">
        <v>1</v>
      </c>
      <c r="D20" s="1">
        <v>475.89</v>
      </c>
      <c r="E20" s="1">
        <v>208.9</v>
      </c>
      <c r="F20" s="1">
        <v>42.17</v>
      </c>
      <c r="G20" s="1">
        <v>0.16</v>
      </c>
      <c r="H20" s="1">
        <v>64</v>
      </c>
      <c r="I20" s="1">
        <v>490.85</v>
      </c>
      <c r="J20" s="1">
        <v>209.45</v>
      </c>
      <c r="K20" s="1">
        <v>64</v>
      </c>
      <c r="L20" s="1">
        <v>217</v>
      </c>
      <c r="M20" s="1">
        <v>271</v>
      </c>
      <c r="N20" s="2">
        <f t="shared" si="2"/>
        <v>3.3333333333333333E-2</v>
      </c>
      <c r="O20" s="2">
        <f t="shared" si="0"/>
        <v>14.960000000000036</v>
      </c>
      <c r="P20" s="2">
        <f t="shared" si="3"/>
        <v>0.83189945458857206</v>
      </c>
      <c r="Q20" s="2">
        <f t="shared" si="1"/>
        <v>1620</v>
      </c>
      <c r="R20" s="2">
        <f t="shared" si="4"/>
        <v>90.085368745553708</v>
      </c>
      <c r="AC20" s="8">
        <f>AVERAGE($R$9:$R$11)</f>
        <v>43.952379469802189</v>
      </c>
      <c r="AD20" s="8">
        <f>AVERAGE($P$9:$P$11)</f>
        <v>0.38630726675332783</v>
      </c>
      <c r="AE20" s="18">
        <f t="shared" si="9"/>
        <v>1.5827781333417348</v>
      </c>
      <c r="AF20" s="9">
        <f>$B$26*10^-3</f>
        <v>1.9459007149690055</v>
      </c>
    </row>
    <row r="21" spans="1:32" ht="13.2" x14ac:dyDescent="0.25">
      <c r="A21" s="1" t="s">
        <v>26</v>
      </c>
      <c r="B21" s="1">
        <v>1</v>
      </c>
      <c r="C21" s="1">
        <v>208</v>
      </c>
      <c r="D21" s="1">
        <v>476.44</v>
      </c>
      <c r="E21" s="1">
        <v>209.56</v>
      </c>
      <c r="F21" s="1">
        <v>41.82</v>
      </c>
      <c r="G21" s="1">
        <v>0.18</v>
      </c>
      <c r="H21" s="1">
        <v>128</v>
      </c>
      <c r="I21" s="1">
        <v>494.56</v>
      </c>
      <c r="J21" s="1">
        <v>208.88</v>
      </c>
      <c r="K21" s="1">
        <v>128</v>
      </c>
      <c r="L21" s="1">
        <v>295</v>
      </c>
      <c r="M21" s="1">
        <v>362</v>
      </c>
      <c r="N21" s="2">
        <f t="shared" si="2"/>
        <v>3.3333333333333333E-2</v>
      </c>
      <c r="O21" s="2">
        <f t="shared" si="0"/>
        <v>18.120000000000005</v>
      </c>
      <c r="P21" s="2">
        <f t="shared" si="3"/>
        <v>1.0160545193687234</v>
      </c>
      <c r="Q21" s="2">
        <f t="shared" si="1"/>
        <v>2010</v>
      </c>
      <c r="R21" s="2">
        <f t="shared" si="4"/>
        <v>112.70803443328552</v>
      </c>
      <c r="AC21" s="8">
        <f>AVERAGE($R$12:$R$14)</f>
        <v>65.978342161110575</v>
      </c>
      <c r="AD21" s="8">
        <f>AVERAGE($P$12:$P$14)</f>
        <v>0.59722290444426374</v>
      </c>
      <c r="AE21" s="18">
        <f t="shared" si="9"/>
        <v>2.4469416840890372</v>
      </c>
      <c r="AF21" s="9">
        <f>$B$27*10^-3</f>
        <v>2.9210546671764201</v>
      </c>
    </row>
    <row r="22" spans="1:32" ht="15.75" customHeight="1" x14ac:dyDescent="0.25">
      <c r="F22">
        <f>AVERAGE(F3:F21)</f>
        <v>42.366315789473681</v>
      </c>
      <c r="G22">
        <f>_xlfn.STDEV.P(F3:F21)</f>
        <v>0.4090452365450134</v>
      </c>
      <c r="AC22" s="8">
        <f>AVERAGE($R$15:$R$17)</f>
        <v>52.663739962199166</v>
      </c>
      <c r="AD22" s="8">
        <f>AVERAGE($P$15:$P$17)</f>
        <v>0.62966601480416218</v>
      </c>
      <c r="AE22" s="18">
        <f t="shared" si="9"/>
        <v>2.5798675958556134</v>
      </c>
      <c r="AF22" s="9">
        <f>$B$28*10^-3</f>
        <v>2.3315781871557988</v>
      </c>
    </row>
    <row r="23" spans="1:32" ht="15.75" customHeight="1" x14ac:dyDescent="0.25">
      <c r="A23" t="s">
        <v>33</v>
      </c>
      <c r="B23" t="s">
        <v>41</v>
      </c>
      <c r="C23" t="s">
        <v>42</v>
      </c>
      <c r="D23" t="s">
        <v>44</v>
      </c>
      <c r="E23" t="s">
        <v>43</v>
      </c>
      <c r="AC23" s="8">
        <f>AVERAGE($R$18:$R$20)</f>
        <v>68.602727641175605</v>
      </c>
      <c r="AD23" s="8">
        <f>AVERAGE($P$18:$P$20)</f>
        <v>0.86634124838641613</v>
      </c>
      <c r="AE23" s="18">
        <f t="shared" si="9"/>
        <v>3.549573362888824</v>
      </c>
      <c r="AF23" s="9">
        <f>$B$29*10^-3</f>
        <v>3.0372439075228153</v>
      </c>
    </row>
    <row r="24" spans="1:32" ht="15.75" customHeight="1" x14ac:dyDescent="0.25">
      <c r="A24" t="s">
        <v>27</v>
      </c>
      <c r="B24">
        <f>6*PI()*$B$32*$B$33*U3</f>
        <v>1420.6061210902571</v>
      </c>
      <c r="C24">
        <f>W3</f>
        <v>0.18931987784047424</v>
      </c>
      <c r="E24">
        <f>B24/(W3*10^9)</f>
        <v>7.5037346172771995E-6</v>
      </c>
      <c r="AC24" s="19"/>
      <c r="AD24" s="19"/>
      <c r="AE24" s="19"/>
      <c r="AF24" s="19"/>
    </row>
    <row r="25" spans="1:32" ht="15.75" customHeight="1" x14ac:dyDescent="0.25">
      <c r="A25" t="s">
        <v>28</v>
      </c>
      <c r="B25">
        <f t="shared" ref="B25:B30" si="10">6*PI()*$B$32*$B$33*U4</f>
        <v>1571.8940080549667</v>
      </c>
      <c r="C25" s="5">
        <f t="shared" ref="C25:C30" si="11">W4</f>
        <v>0.34491359922611142</v>
      </c>
      <c r="E25">
        <f t="shared" ref="E25:E29" si="12">B25/(W4*10^9)</f>
        <v>4.5573558467449594E-6</v>
      </c>
    </row>
    <row r="26" spans="1:32" ht="15.75" customHeight="1" x14ac:dyDescent="0.25">
      <c r="A26" t="s">
        <v>29</v>
      </c>
      <c r="B26">
        <f t="shared" si="10"/>
        <v>1945.9007149690055</v>
      </c>
      <c r="C26" s="5">
        <f t="shared" si="11"/>
        <v>0.38630726675332783</v>
      </c>
      <c r="E26">
        <f t="shared" si="12"/>
        <v>5.0371838234447153E-6</v>
      </c>
    </row>
    <row r="27" spans="1:32" ht="15.75" customHeight="1" x14ac:dyDescent="0.25">
      <c r="A27" t="s">
        <v>30</v>
      </c>
      <c r="B27">
        <f t="shared" si="10"/>
        <v>2921.05466717642</v>
      </c>
      <c r="C27" s="5">
        <f t="shared" si="11"/>
        <v>0.59722290444426374</v>
      </c>
      <c r="E27">
        <f t="shared" si="12"/>
        <v>4.8910626927387544E-6</v>
      </c>
    </row>
    <row r="28" spans="1:32" ht="15.75" customHeight="1" x14ac:dyDescent="0.25">
      <c r="A28" t="s">
        <v>31</v>
      </c>
      <c r="B28">
        <f t="shared" si="10"/>
        <v>2331.5781871557988</v>
      </c>
      <c r="C28" s="5">
        <f t="shared" si="11"/>
        <v>0.62966601480416218</v>
      </c>
      <c r="E28">
        <f t="shared" si="12"/>
        <v>3.7028807849522623E-6</v>
      </c>
    </row>
    <row r="29" spans="1:32" ht="15.75" customHeight="1" x14ac:dyDescent="0.25">
      <c r="A29" t="s">
        <v>32</v>
      </c>
      <c r="B29">
        <f t="shared" si="10"/>
        <v>3037.2439075228153</v>
      </c>
      <c r="C29" s="5">
        <f t="shared" si="11"/>
        <v>0.86634124838641613</v>
      </c>
      <c r="E29">
        <f t="shared" si="12"/>
        <v>3.5058285787266438E-6</v>
      </c>
    </row>
    <row r="30" spans="1:32" ht="15.75" customHeight="1" x14ac:dyDescent="0.25">
      <c r="B30" s="11">
        <f t="shared" si="10"/>
        <v>4989.9151634592636</v>
      </c>
      <c r="C30" s="11">
        <f t="shared" si="11"/>
        <v>1.0160545193687234</v>
      </c>
    </row>
    <row r="32" spans="1:32" ht="15.75" customHeight="1" x14ac:dyDescent="0.25">
      <c r="A32" t="s">
        <v>34</v>
      </c>
      <c r="B32">
        <v>1.0016</v>
      </c>
      <c r="C32" t="s">
        <v>35</v>
      </c>
    </row>
    <row r="33" spans="1:3" ht="15.75" customHeight="1" x14ac:dyDescent="0.25">
      <c r="A33" t="s">
        <v>36</v>
      </c>
      <c r="B33">
        <f>4.69/2</f>
        <v>2.3450000000000002</v>
      </c>
      <c r="C33" t="s">
        <v>37</v>
      </c>
    </row>
    <row r="34" spans="1:3" ht="15.75" customHeight="1" x14ac:dyDescent="0.25">
      <c r="A34" t="s">
        <v>38</v>
      </c>
      <c r="B34" t="s">
        <v>39</v>
      </c>
      <c r="C34" t="s">
        <v>40</v>
      </c>
    </row>
  </sheetData>
  <mergeCells count="3">
    <mergeCell ref="I1:J1"/>
    <mergeCell ref="K1:M1"/>
    <mergeCell ref="T10:Z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H. DeMastri</cp:lastModifiedBy>
  <dcterms:modified xsi:type="dcterms:W3CDTF">2021-03-31T18:47:18Z</dcterms:modified>
</cp:coreProperties>
</file>