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emckclac-my.sharepoint.com/personal/k21195152_kcl_ac_uk/Documents/Documents/jds/"/>
    </mc:Choice>
  </mc:AlternateContent>
  <xr:revisionPtr revIDLastSave="0" documentId="8_{A8F17E1E-0D2D-4BF1-A63F-AAEE39D07635}" xr6:coauthVersionLast="47" xr6:coauthVersionMax="47" xr10:uidLastSave="{00000000-0000-0000-0000-000000000000}"/>
  <bookViews>
    <workbookView xWindow="-98" yWindow="-98" windowWidth="28996" windowHeight="17596" activeTab="2" xr2:uid="{F81B621A-AFC2-4557-B415-8C769A7A0CDB}"/>
  </bookViews>
  <sheets>
    <sheet name="Cover sheet" sheetId="37" r:id="rId1"/>
    <sheet name="Contents" sheetId="38" r:id="rId2"/>
    <sheet name="1a" sheetId="1" r:id="rId3"/>
    <sheet name="1b" sheetId="4" r:id="rId4"/>
    <sheet name="1c" sheetId="11" r:id="rId5"/>
    <sheet name="1d" sheetId="12" r:id="rId6"/>
    <sheet name="1e" sheetId="13" r:id="rId7"/>
    <sheet name="2a" sheetId="14" r:id="rId8"/>
    <sheet name="2b" sheetId="15" r:id="rId9"/>
    <sheet name="2c" sheetId="16" r:id="rId10"/>
    <sheet name="3a" sheetId="2" r:id="rId11"/>
    <sheet name="3b" sheetId="18" r:id="rId12"/>
    <sheet name="3c" sheetId="19" r:id="rId13"/>
    <sheet name="3d" sheetId="20" r:id="rId14"/>
    <sheet name="3e" sheetId="21" r:id="rId15"/>
    <sheet name="3f" sheetId="22" r:id="rId16"/>
    <sheet name="4" sheetId="35" r:id="rId17"/>
    <sheet name="5" sheetId="36" r:id="rId18"/>
    <sheet name="6" sheetId="23" r:id="rId19"/>
    <sheet name="7" sheetId="24" r:id="rId20"/>
    <sheet name="8" sheetId="3" r:id="rId21"/>
    <sheet name="9" sheetId="27" r:id="rId22"/>
    <sheet name="10" sheetId="28" r:id="rId23"/>
    <sheet name="11a" sheetId="31" r:id="rId24"/>
    <sheet name="11b" sheetId="32" r:id="rId25"/>
    <sheet name="12a" sheetId="33" r:id="rId26"/>
    <sheet name="12b" sheetId="34" r:id="rId27"/>
    <sheet name="13a" sheetId="29" r:id="rId28"/>
    <sheet name="13b" sheetId="30" r:id="rId29"/>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29" l="1"/>
  <c r="E5" i="29"/>
  <c r="F5" i="29"/>
  <c r="G5" i="29"/>
  <c r="H5" i="29"/>
  <c r="I5" i="29"/>
  <c r="J5" i="29"/>
  <c r="K5" i="29"/>
  <c r="L5" i="29"/>
  <c r="M5" i="29"/>
  <c r="N5" i="29"/>
  <c r="O5" i="29"/>
  <c r="P5" i="29"/>
  <c r="Q5" i="29"/>
  <c r="R5" i="29"/>
  <c r="S5" i="29"/>
  <c r="T5" i="29"/>
  <c r="U5" i="29"/>
  <c r="V5" i="29"/>
  <c r="W5" i="29"/>
  <c r="X5" i="29"/>
  <c r="Y5" i="29"/>
  <c r="D6" i="29"/>
  <c r="E6" i="29"/>
  <c r="F6" i="29"/>
  <c r="G6" i="29"/>
  <c r="H6" i="29"/>
  <c r="I6" i="29"/>
  <c r="J6" i="29"/>
  <c r="K6" i="29"/>
  <c r="L6" i="29"/>
  <c r="M6" i="29"/>
  <c r="N6" i="29"/>
  <c r="O6" i="29"/>
  <c r="P6" i="29"/>
  <c r="Q6" i="29"/>
  <c r="R6" i="29"/>
  <c r="S6" i="29"/>
  <c r="T6" i="29"/>
  <c r="U6" i="29"/>
  <c r="V6" i="29"/>
  <c r="W6" i="29"/>
  <c r="X6" i="29"/>
  <c r="Y6" i="29"/>
  <c r="D7" i="29"/>
  <c r="E7" i="29"/>
  <c r="F7" i="29"/>
  <c r="G7" i="29"/>
  <c r="H7" i="29"/>
  <c r="I7" i="29"/>
  <c r="J7" i="29"/>
  <c r="K7" i="29"/>
  <c r="L7" i="29"/>
  <c r="M7" i="29"/>
  <c r="N7" i="29"/>
  <c r="O7" i="29"/>
  <c r="P7" i="29"/>
  <c r="Q7" i="29"/>
  <c r="R7" i="29"/>
  <c r="S7" i="29"/>
  <c r="T7" i="29"/>
  <c r="U7" i="29"/>
  <c r="V7" i="29"/>
  <c r="W7" i="29"/>
  <c r="X7" i="29"/>
  <c r="Y7" i="29"/>
  <c r="D8" i="29"/>
  <c r="E8" i="29"/>
  <c r="F8" i="29"/>
  <c r="G8" i="29"/>
  <c r="H8" i="29"/>
  <c r="I8" i="29"/>
  <c r="J8" i="29"/>
  <c r="K8" i="29"/>
  <c r="L8" i="29"/>
  <c r="M8" i="29"/>
  <c r="N8" i="29"/>
  <c r="O8" i="29"/>
  <c r="P8" i="29"/>
  <c r="Q8" i="29"/>
  <c r="R8" i="29"/>
  <c r="S8" i="29"/>
  <c r="T8" i="29"/>
  <c r="U8" i="29"/>
  <c r="V8" i="29"/>
  <c r="W8" i="29"/>
  <c r="X8" i="29"/>
  <c r="Y8" i="29"/>
  <c r="C5" i="29"/>
  <c r="C6" i="29"/>
  <c r="C7" i="29"/>
  <c r="C8" i="29"/>
  <c r="Q9" i="4" l="1"/>
  <c r="Q9" i="15"/>
  <c r="P9" i="4" l="1"/>
  <c r="P9" i="15"/>
  <c r="O9" i="4"/>
  <c r="O9" i="15"/>
  <c r="N9" i="15" l="1"/>
  <c r="N9" i="4"/>
  <c r="L9" i="15" l="1"/>
  <c r="M9" i="15"/>
  <c r="L9" i="4"/>
  <c r="M9" i="4"/>
  <c r="J9" i="15" l="1"/>
  <c r="K9" i="15"/>
  <c r="J9" i="4"/>
  <c r="K9" i="4"/>
  <c r="I9" i="4"/>
  <c r="I9" i="15" l="1"/>
  <c r="H9" i="15"/>
  <c r="H9" i="4" l="1"/>
  <c r="G9" i="4"/>
  <c r="G9" i="15"/>
  <c r="F9" i="4" l="1"/>
  <c r="F9" i="15" l="1"/>
  <c r="U9" i="15" l="1"/>
  <c r="U9" i="4"/>
  <c r="R9" i="15"/>
  <c r="R9" i="4"/>
  <c r="E9" i="4"/>
  <c r="E9" i="15"/>
  <c r="D9" i="4"/>
  <c r="D9" i="15"/>
  <c r="T9" i="4"/>
  <c r="T9" i="15"/>
  <c r="S9" i="15" l="1"/>
  <c r="S9" i="4"/>
  <c r="V9" i="15" l="1"/>
  <c r="C9" i="4"/>
  <c r="V9" i="4"/>
  <c r="C9" i="15"/>
  <c r="W9" i="4"/>
  <c r="W9" i="15"/>
  <c r="Q8" i="15" l="1"/>
  <c r="Q8" i="4"/>
  <c r="P8" i="4"/>
  <c r="R8" i="4" l="1"/>
  <c r="R8" i="15"/>
  <c r="P8" i="15"/>
  <c r="S8" i="15" l="1"/>
  <c r="O8" i="4"/>
  <c r="S8" i="4"/>
  <c r="O8" i="15"/>
  <c r="N8" i="15"/>
  <c r="T8" i="15" l="1"/>
  <c r="T8" i="4"/>
  <c r="N8" i="4"/>
  <c r="M8" i="15"/>
  <c r="U8" i="15" l="1"/>
  <c r="U8" i="4"/>
  <c r="M8" i="4"/>
  <c r="L8" i="4"/>
  <c r="V8" i="15" l="1"/>
  <c r="L8" i="15"/>
  <c r="V8" i="4"/>
  <c r="K8" i="4"/>
  <c r="W8" i="4" l="1"/>
  <c r="W8" i="15"/>
  <c r="K8" i="15"/>
  <c r="J8" i="4"/>
  <c r="X8" i="15" l="1"/>
  <c r="Y8" i="15"/>
  <c r="X8" i="4"/>
  <c r="Y8" i="4"/>
  <c r="J8" i="15"/>
  <c r="I8" i="4"/>
  <c r="I8" i="15" l="1"/>
  <c r="H8" i="15"/>
  <c r="H8" i="4" l="1"/>
  <c r="G8" i="15"/>
  <c r="G8" i="4" l="1"/>
  <c r="F8" i="15"/>
  <c r="F8" i="4" l="1"/>
  <c r="E8" i="4"/>
  <c r="E8" i="15"/>
  <c r="D8" i="4" l="1"/>
  <c r="D8" i="15"/>
  <c r="C8" i="4" l="1"/>
  <c r="C8" i="15" l="1"/>
  <c r="X9" i="15" l="1"/>
  <c r="Y9" i="15"/>
  <c r="X9" i="4" l="1"/>
  <c r="Y9" i="4"/>
  <c r="Y7" i="15" l="1"/>
  <c r="Y7" i="4" l="1"/>
  <c r="Y10" i="15" l="1"/>
  <c r="Y10" i="4" l="1"/>
  <c r="X10" i="15" l="1"/>
  <c r="X10" i="4" l="1"/>
  <c r="R10" i="15" l="1"/>
  <c r="U10" i="15" l="1"/>
  <c r="S10" i="15"/>
  <c r="T10" i="15"/>
  <c r="R10" i="4"/>
  <c r="T10" i="4"/>
  <c r="U10" i="4" l="1"/>
  <c r="Q10" i="15"/>
  <c r="S10" i="4"/>
  <c r="P10" i="15"/>
  <c r="P10" i="4" l="1"/>
  <c r="Q10" i="4"/>
  <c r="O10" i="4"/>
  <c r="O10" i="15"/>
  <c r="N10" i="15" l="1"/>
  <c r="M10" i="4" l="1"/>
  <c r="N10" i="4"/>
  <c r="M10" i="15"/>
  <c r="L10" i="15" l="1"/>
  <c r="L10" i="4"/>
  <c r="K10" i="15" l="1"/>
  <c r="K10" i="4"/>
  <c r="J10" i="4" l="1"/>
  <c r="J10" i="15"/>
  <c r="I10" i="15" l="1"/>
  <c r="H10" i="15" l="1"/>
  <c r="H10" i="4"/>
  <c r="I10" i="4"/>
  <c r="G10" i="15" l="1"/>
  <c r="G10" i="4" l="1"/>
  <c r="F10" i="15"/>
  <c r="E10" i="15"/>
  <c r="F10" i="4" l="1"/>
  <c r="D10" i="15" l="1"/>
  <c r="E10" i="4"/>
  <c r="C10" i="4" l="1"/>
  <c r="C10" i="15"/>
  <c r="D10" i="4"/>
  <c r="V10" i="15" l="1"/>
  <c r="W10" i="15"/>
  <c r="V10" i="4" l="1"/>
  <c r="W10" i="4"/>
  <c r="W7" i="15" l="1"/>
  <c r="X7" i="15"/>
  <c r="T7" i="15"/>
  <c r="S7" i="15"/>
  <c r="V7" i="15"/>
  <c r="V7" i="4"/>
  <c r="U7" i="15"/>
  <c r="T7" i="4" l="1"/>
  <c r="R7" i="15"/>
  <c r="U7" i="4"/>
  <c r="W7" i="4"/>
  <c r="X7" i="4"/>
  <c r="R7" i="4"/>
  <c r="S7" i="4"/>
  <c r="Q7" i="15" l="1"/>
  <c r="Q7" i="4" l="1"/>
  <c r="P7" i="15"/>
  <c r="O7" i="4" l="1"/>
  <c r="P7" i="4"/>
  <c r="O7" i="15"/>
  <c r="N7" i="15"/>
  <c r="N7" i="4" l="1"/>
  <c r="M7" i="15"/>
  <c r="M7" i="4" l="1"/>
  <c r="L7" i="15"/>
  <c r="L7" i="4" l="1"/>
  <c r="K7" i="4"/>
  <c r="K7" i="15"/>
  <c r="J7" i="15"/>
  <c r="J7" i="4" l="1"/>
  <c r="I7" i="15"/>
  <c r="H7" i="15" l="1"/>
  <c r="H7" i="4" l="1"/>
  <c r="I7" i="4"/>
  <c r="G7" i="15"/>
  <c r="F7" i="15" l="1"/>
  <c r="F7" i="4"/>
  <c r="G7" i="4"/>
  <c r="E7" i="15" l="1"/>
  <c r="D7" i="15" l="1"/>
  <c r="D7" i="4"/>
  <c r="E7" i="4"/>
  <c r="C7" i="15" l="1"/>
  <c r="C7" i="4"/>
  <c r="V6" i="15" l="1"/>
  <c r="U6" i="15"/>
  <c r="U6" i="4"/>
  <c r="W6" i="15"/>
  <c r="X6" i="15"/>
  <c r="V6" i="4"/>
  <c r="W6" i="4"/>
  <c r="X6" i="4"/>
  <c r="T6" i="4" l="1"/>
  <c r="R6" i="4"/>
  <c r="R6" i="15"/>
  <c r="T6" i="15"/>
  <c r="S6" i="15"/>
  <c r="S6" i="4"/>
  <c r="W5" i="12" l="1"/>
  <c r="V5" i="4"/>
  <c r="W10" i="12"/>
  <c r="W9" i="12"/>
  <c r="W7" i="12"/>
  <c r="W6" i="12"/>
  <c r="W8" i="12"/>
  <c r="X5" i="15"/>
  <c r="V5" i="15"/>
  <c r="Y7" i="12"/>
  <c r="Y6" i="12"/>
  <c r="Y9" i="12"/>
  <c r="Y8" i="12"/>
  <c r="Y10" i="12"/>
  <c r="X5" i="4"/>
  <c r="Y5" i="12"/>
  <c r="W5" i="15"/>
  <c r="Q6" i="4"/>
  <c r="Q6" i="15"/>
  <c r="U5" i="4"/>
  <c r="X7" i="12"/>
  <c r="X9" i="12"/>
  <c r="X6" i="12"/>
  <c r="X10" i="12"/>
  <c r="X5" i="12"/>
  <c r="X8" i="12"/>
  <c r="W5" i="4"/>
  <c r="V9" i="12"/>
  <c r="V10" i="12"/>
  <c r="V8" i="12"/>
  <c r="V5" i="12"/>
  <c r="V6" i="12"/>
  <c r="V7" i="12"/>
  <c r="U5" i="15"/>
  <c r="T5" i="12" l="1"/>
  <c r="T7" i="12"/>
  <c r="T6" i="12"/>
  <c r="T8" i="12"/>
  <c r="S5" i="4"/>
  <c r="T10" i="12"/>
  <c r="T9" i="12"/>
  <c r="S9" i="12"/>
  <c r="S10" i="12"/>
  <c r="S5" i="12"/>
  <c r="S6" i="12"/>
  <c r="S8" i="12"/>
  <c r="S7" i="12"/>
  <c r="R5" i="4"/>
  <c r="T5" i="15"/>
  <c r="T5" i="4"/>
  <c r="U6" i="12"/>
  <c r="U5" i="12"/>
  <c r="U8" i="12"/>
  <c r="U10" i="12"/>
  <c r="U7" i="12"/>
  <c r="U9" i="12"/>
  <c r="P6" i="15"/>
  <c r="S5" i="15"/>
  <c r="O6" i="4" l="1"/>
  <c r="R8" i="12"/>
  <c r="R7" i="12"/>
  <c r="R10" i="12"/>
  <c r="R9" i="12"/>
  <c r="R5" i="12"/>
  <c r="R6" i="12"/>
  <c r="P6" i="4"/>
  <c r="R5" i="15"/>
  <c r="Q5" i="15"/>
  <c r="O6" i="15"/>
  <c r="Q9" i="12" l="1"/>
  <c r="Q10" i="12"/>
  <c r="Q7" i="12"/>
  <c r="Q6" i="12"/>
  <c r="Q5" i="12"/>
  <c r="Q8" i="12"/>
  <c r="P5" i="4"/>
  <c r="Q5" i="4"/>
  <c r="N6" i="4"/>
  <c r="P5" i="15"/>
  <c r="P7" i="12" l="1"/>
  <c r="P9" i="12"/>
  <c r="P5" i="12"/>
  <c r="P6" i="12"/>
  <c r="P8" i="12"/>
  <c r="P10" i="12"/>
  <c r="M6" i="4"/>
  <c r="N6" i="15"/>
  <c r="O5" i="12" l="1"/>
  <c r="O7" i="12"/>
  <c r="O9" i="12"/>
  <c r="O6" i="12"/>
  <c r="O8" i="12"/>
  <c r="O10" i="12"/>
  <c r="O5" i="15"/>
  <c r="N5" i="15"/>
  <c r="O5" i="4"/>
  <c r="L6" i="4"/>
  <c r="M6" i="15"/>
  <c r="L6" i="15" l="1"/>
  <c r="K6" i="4"/>
  <c r="M5" i="15"/>
  <c r="N8" i="12"/>
  <c r="N9" i="12"/>
  <c r="N7" i="12"/>
  <c r="N6" i="12"/>
  <c r="N5" i="12"/>
  <c r="N10" i="12"/>
  <c r="M5" i="4"/>
  <c r="N5" i="4"/>
  <c r="J6" i="15" l="1"/>
  <c r="J6" i="4"/>
  <c r="K6" i="15"/>
  <c r="L5" i="15"/>
  <c r="M7" i="12"/>
  <c r="M9" i="12"/>
  <c r="M10" i="12"/>
  <c r="M6" i="12"/>
  <c r="M5" i="12"/>
  <c r="M8" i="12"/>
  <c r="L7" i="12" l="1"/>
  <c r="L9" i="12"/>
  <c r="L5" i="12"/>
  <c r="L6" i="12"/>
  <c r="L8" i="12"/>
  <c r="L10" i="12"/>
  <c r="I6" i="15"/>
  <c r="I6" i="4"/>
  <c r="L5" i="4"/>
  <c r="K5" i="4"/>
  <c r="K5" i="15"/>
  <c r="K5" i="12" l="1"/>
  <c r="K10" i="12"/>
  <c r="K9" i="12"/>
  <c r="K6" i="12"/>
  <c r="K8" i="12"/>
  <c r="K7" i="12"/>
  <c r="J5" i="15"/>
  <c r="H6" i="15"/>
  <c r="J5" i="4"/>
  <c r="H6" i="4" l="1"/>
  <c r="I5" i="4"/>
  <c r="G6" i="15"/>
  <c r="J5" i="12"/>
  <c r="J8" i="12"/>
  <c r="J6" i="12"/>
  <c r="J9" i="12"/>
  <c r="J7" i="12"/>
  <c r="J10" i="12"/>
  <c r="I5" i="15"/>
  <c r="F6" i="4" l="1"/>
  <c r="F6" i="15"/>
  <c r="I6" i="12"/>
  <c r="I9" i="12"/>
  <c r="I8" i="12"/>
  <c r="I10" i="12"/>
  <c r="I7" i="12"/>
  <c r="I5" i="12"/>
  <c r="G6" i="4"/>
  <c r="E6" i="15" l="1"/>
  <c r="H7" i="12"/>
  <c r="H9" i="12"/>
  <c r="H5" i="12"/>
  <c r="H6" i="12"/>
  <c r="H8" i="12"/>
  <c r="H10" i="12"/>
  <c r="H5" i="4"/>
  <c r="G5" i="15"/>
  <c r="H5" i="15"/>
  <c r="E6" i="4"/>
  <c r="G5" i="4" l="1"/>
  <c r="G5" i="12"/>
  <c r="G6" i="12"/>
  <c r="G8" i="12"/>
  <c r="G10" i="12"/>
  <c r="G9" i="12"/>
  <c r="G7" i="12"/>
  <c r="F5" i="15"/>
  <c r="D6" i="15"/>
  <c r="D6" i="4"/>
  <c r="F9" i="12" l="1"/>
  <c r="F10" i="12"/>
  <c r="F5" i="12"/>
  <c r="F8" i="12"/>
  <c r="F7" i="12"/>
  <c r="F6" i="12"/>
  <c r="F5" i="4"/>
  <c r="E5" i="4"/>
  <c r="D5" i="15" l="1"/>
  <c r="C6" i="4"/>
  <c r="E5" i="15"/>
  <c r="E8" i="12"/>
  <c r="E10" i="12"/>
  <c r="E7" i="12"/>
  <c r="E9" i="12"/>
  <c r="D5" i="4"/>
  <c r="E6" i="12"/>
  <c r="E5" i="12"/>
  <c r="C6" i="15"/>
  <c r="C5" i="15" l="1"/>
  <c r="D7" i="12"/>
  <c r="D9" i="12"/>
  <c r="D5" i="12"/>
  <c r="D6" i="12"/>
  <c r="D8" i="12"/>
  <c r="C5" i="4"/>
  <c r="D10" i="12"/>
  <c r="C5" i="12" l="1"/>
  <c r="C7" i="12"/>
  <c r="C9" i="12"/>
  <c r="C8" i="12"/>
  <c r="C6" i="12"/>
  <c r="C10" i="12"/>
  <c r="Y6" i="15" l="1"/>
  <c r="Y6" i="4" l="1"/>
  <c r="Y5" i="15" l="1"/>
  <c r="Y5" i="4"/>
  <c r="Z7" i="12"/>
  <c r="Z6" i="12"/>
  <c r="Z9" i="12"/>
  <c r="Z10" i="12"/>
  <c r="Z5" i="12"/>
  <c r="Z8" i="12"/>
</calcChain>
</file>

<file path=xl/sharedStrings.xml><?xml version="1.0" encoding="utf-8"?>
<sst xmlns="http://schemas.openxmlformats.org/spreadsheetml/2006/main" count="2494" uniqueCount="400">
  <si>
    <t>HF.TOT</t>
  </si>
  <si>
    <t>HF.1.1</t>
  </si>
  <si>
    <t>HF.2.1</t>
  </si>
  <si>
    <t>HF.2.2</t>
  </si>
  <si>
    <t>HF.2.3</t>
  </si>
  <si>
    <t>HF.3</t>
  </si>
  <si>
    <t>Total current healthcare expenditure</t>
  </si>
  <si>
    <t>Government-financed expenditure [note 5]</t>
  </si>
  <si>
    <t>Voluntary health insurance schemes [note 6]</t>
  </si>
  <si>
    <t>Non-profit institutions serving households financing schemes [note 7]</t>
  </si>
  <si>
    <t>Enterprise financing schemes [note 8]</t>
  </si>
  <si>
    <t>Out-of-pocket expenditure [note 9]</t>
  </si>
  <si>
    <t>ICHA codes [note 4]</t>
  </si>
  <si>
    <t>Financing Scheme</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</si>
  <si>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</si>
  <si>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</si>
  <si>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</si>
  <si>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</si>
  <si>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</si>
  <si>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</si>
  <si>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</si>
  <si>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</si>
  <si>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</si>
  <si>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</si>
  <si>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</si>
  <si>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</si>
  <si>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</si>
  <si>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</si>
  <si>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</si>
  <si>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</si>
  <si>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</si>
  <si>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</si>
  <si>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</si>
  <si>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</si>
  <si>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</si>
  <si>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</si>
  <si>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</si>
  <si>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</si>
  <si>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Notes:</t>
  </si>
  <si>
    <t>Figures exclude expenditure on capital, but include consumption of fixed capital.</t>
  </si>
  <si>
    <t>Financing scheme (HF) refers to the method of financing of healthcare. For more information on the definitions of each financing scheme, see:</t>
  </si>
  <si>
    <t>An introduction to health accounts</t>
  </si>
  <si>
    <t>Figures are provided in nominal terms (current prices), unadjusted for inflation.</t>
  </si>
  <si>
    <t>The International Classification of Health Accounts (ICHA) codes are internationally recognised individual identifiers for healthcare expenditure. For further details on ICHA codes see:</t>
  </si>
  <si>
    <t>http://www.oecd.org/els/health-systems/a-system-of-health-accounts-2011-9789264270985-en.htm</t>
  </si>
  <si>
    <t>Government financing covers healthcare spending by the NHS, local authorities and other government bodies involved in the provision of healthcare. Figures are reported net of client contributions and grants to charities.</t>
  </si>
  <si>
    <t>Voluntary health insurance schemes include: private medical insurance, employer self-insurance schemes, health cash plans, dental insurance and capitation plans and the health component of travel insurance.</t>
  </si>
  <si>
    <t>Non-profit institutions serving households (NPISH) schemes cover charity expenditure funded through voluntary donations, grants and investment income, excluding charity expenditure funded through client contributions and purchases of care.</t>
  </si>
  <si>
    <t>Enterprise financing covers healthcare activity financed by organisations (primarily employers) outside of an insurance scheme.</t>
  </si>
  <si>
    <t>Out-of-pocket spending covers consumer expenditure on healthcare goods and services, outside of health insurance schemes.</t>
  </si>
  <si>
    <t>Figures may not sum due to rounding.</t>
  </si>
  <si>
    <t>Note 1</t>
  </si>
  <si>
    <t>Note 2</t>
  </si>
  <si>
    <t>Note 3</t>
  </si>
  <si>
    <t>Note 4</t>
  </si>
  <si>
    <t>Note 5</t>
  </si>
  <si>
    <t>Note 6</t>
  </si>
  <si>
    <t>Note 7</t>
  </si>
  <si>
    <t>Note 8</t>
  </si>
  <si>
    <t>Note 9</t>
  </si>
  <si>
    <t>Note 10</t>
  </si>
  <si>
    <t>Note 11</t>
  </si>
  <si>
    <t>Note 12</t>
  </si>
  <si>
    <t>Expenditure, £ millions</t>
  </si>
  <si>
    <t>United Kingdom</t>
  </si>
  <si>
    <t>IHCA codes [note 5]</t>
  </si>
  <si>
    <t>HP.TOT</t>
  </si>
  <si>
    <t>HP.1</t>
  </si>
  <si>
    <t>HP.2</t>
  </si>
  <si>
    <t>HP.3</t>
  </si>
  <si>
    <t>HP.3.1</t>
  </si>
  <si>
    <t>HP.3.2</t>
  </si>
  <si>
    <t>HP.3.5</t>
  </si>
  <si>
    <t>HP.4</t>
  </si>
  <si>
    <t>HP.5</t>
  </si>
  <si>
    <t>HP.6</t>
  </si>
  <si>
    <t>HP.7</t>
  </si>
  <si>
    <t>HP.8</t>
  </si>
  <si>
    <t>HP.8.1</t>
  </si>
  <si>
    <t>HP.8.2</t>
  </si>
  <si>
    <t>HP.9</t>
  </si>
  <si>
    <t>HP.0</t>
  </si>
  <si>
    <t>All providers</t>
  </si>
  <si>
    <t>Hospitals</t>
  </si>
  <si>
    <t>Residential 
long-term care facilities</t>
  </si>
  <si>
    <t>Providers of ambulatory healthcare</t>
  </si>
  <si>
    <t>Offices of general medical practitioners</t>
  </si>
  <si>
    <t>Dental practices</t>
  </si>
  <si>
    <t>Providers of home healthcare services</t>
  </si>
  <si>
    <t>Providers of ancillary services</t>
  </si>
  <si>
    <t>Providers of medical 
goods</t>
  </si>
  <si>
    <t>Providers of preventive care</t>
  </si>
  <si>
    <t>Providers of healthcare system administration and financing</t>
  </si>
  <si>
    <t>Rest of 
economy</t>
  </si>
  <si>
    <t>Households as providers of home healthcare</t>
  </si>
  <si>
    <t>All other industries 
as secondary providers of healthcare</t>
  </si>
  <si>
    <t>Rest of 
the world</t>
  </si>
  <si>
    <t>Not elsewhere classified</t>
  </si>
  <si>
    <t>HCTOT</t>
  </si>
  <si>
    <t>All functions</t>
  </si>
  <si>
    <t>HC.1/HC.2</t>
  </si>
  <si>
    <t>Curative / rehabilitative care</t>
  </si>
  <si>
    <t>HC.1.1/HC.2.1</t>
  </si>
  <si>
    <t>Inpatient curative / rehabilitative inpatient care</t>
  </si>
  <si>
    <t>HC.1.2/HC.2.2</t>
  </si>
  <si>
    <t>Day curative / rehabilitative care</t>
  </si>
  <si>
    <t>HC.1.3/HC.2.3</t>
  </si>
  <si>
    <t>Outpatient curative / rehabilitative care</t>
  </si>
  <si>
    <t>HC.1.3</t>
  </si>
  <si>
    <t>Outpatient curative care</t>
  </si>
  <si>
    <t>HC.1.3.1</t>
  </si>
  <si>
    <t>General outpatient curative care</t>
  </si>
  <si>
    <t>HC.1.3.2</t>
  </si>
  <si>
    <t>Dental outpatient curative care</t>
  </si>
  <si>
    <t>HC.1.3.3</t>
  </si>
  <si>
    <t>Specialised outpatient curative care</t>
  </si>
  <si>
    <t>HC.1.3.9</t>
  </si>
  <si>
    <t>Other outpatient curative care</t>
  </si>
  <si>
    <t>HC.2.3</t>
  </si>
  <si>
    <t>Outpatient rehabilitative care</t>
  </si>
  <si>
    <t>HC.1.4/HC.2.4</t>
  </si>
  <si>
    <t>Home-based curative / rehabilitative care</t>
  </si>
  <si>
    <t>HC.1.4</t>
  </si>
  <si>
    <t>Home-based curative care</t>
  </si>
  <si>
    <t>HC.2.4</t>
  </si>
  <si>
    <t>Home-based rehabilitative care</t>
  </si>
  <si>
    <t>Long-term care (health)</t>
  </si>
  <si>
    <t>Inpatient long-term care (health)</t>
  </si>
  <si>
    <t>Day long-term care (health)</t>
  </si>
  <si>
    <t>Outpatient long-term care (health)</t>
  </si>
  <si>
    <t>Home-based long-term care (health)</t>
  </si>
  <si>
    <t>Ancillary services</t>
  </si>
  <si>
    <t>Medical goods</t>
  </si>
  <si>
    <t>Pharmaceuticals and other medical non-durable goods</t>
  </si>
  <si>
    <t>Prescribed medicines</t>
  </si>
  <si>
    <t>Over-the-counter medicines</t>
  </si>
  <si>
    <t>Other medical non-durable goods</t>
  </si>
  <si>
    <t>Therapeutic appliances and other medical goods</t>
  </si>
  <si>
    <t>Preventive care</t>
  </si>
  <si>
    <t>Information, education and counselling programmes</t>
  </si>
  <si>
    <t>Immunisation programmes</t>
  </si>
  <si>
    <t>Early disease detection programmes</t>
  </si>
  <si>
    <t>Healthy condition monitoring programmes</t>
  </si>
  <si>
    <t>Epidemiological surveillance and risk and disease control programmes</t>
  </si>
  <si>
    <t>Governance, and health system and financing administration</t>
  </si>
  <si>
    <t>Governance and health system administration</t>
  </si>
  <si>
    <t>Administration of health system financing</t>
  </si>
  <si>
    <t>Healthcare Function</t>
  </si>
  <si>
    <t>Figures exclude expenditure on capital, but include consumption of capital. This applies to all tables (a-f).</t>
  </si>
  <si>
    <t>Function (HC) refers to the the type of care and mode of provision. This applies to all tables (a-f).</t>
  </si>
  <si>
    <t>Provider (HP) refers to type of organisation that delivers care or services. This applies to all tables (a-f). For more information on the definitions of each function and provider type, see:</t>
  </si>
  <si>
    <t>The category HP.3.x is not included in the SHA 2011 framework, but is used in the UK health accounts to cover expenditure on healthcare delivered in ambulatory settings, which is not included in HP.3.1, HP.3.2 or HP.3.5.</t>
  </si>
  <si>
    <t xml:space="preserve">Source: Office for National Statistics (ONS) </t>
  </si>
  <si>
    <t>Source: Office for National Statistics (ONS)</t>
  </si>
  <si>
    <t>Other ambulatory providers [note 6]</t>
  </si>
  <si>
    <t>[no data]</t>
  </si>
  <si>
    <t>HP.3.x</t>
  </si>
  <si>
    <t>Table 3a: Total current [note 1] healthcare expenditure by healthcare function [note 2] and healthcare provider [note 3], in nominal terms [note 4], £ millions, 2020</t>
  </si>
  <si>
    <t xml:space="preserve">There is one table on this worksheet. Cells with no data are marked as [no data], and are present as an additonal row has been added for explaining the labels of certain columns. </t>
  </si>
  <si>
    <t xml:space="preserve">There is one table on this worksheet. </t>
  </si>
  <si>
    <t>Table 1c: Current healthcare expenditure [note 1] per person by financing scheme [note 2], in nominal terms [note 3], £ millions, 1997 to 2020</t>
  </si>
  <si>
    <t>Table 2a: Current healthcare expenditure [note 1] by financing scheme [note 2], in real terms [note 3], £ millions, 1997 to 2020</t>
  </si>
  <si>
    <t>Table 2c: Current healthcare expenditure [note 1] per person by financing scheme [note 2], in real terms [note 3], £ millions, 1997 to 2020</t>
  </si>
  <si>
    <t>FS.TOT</t>
  </si>
  <si>
    <t>FS.1</t>
  </si>
  <si>
    <t>FS.1.1</t>
  </si>
  <si>
    <t>FS.1.4</t>
  </si>
  <si>
    <t>FS.5</t>
  </si>
  <si>
    <t>FS.6</t>
  </si>
  <si>
    <t>FS.6.1</t>
  </si>
  <si>
    <t>FS.6.2</t>
  </si>
  <si>
    <t>FS.6.3</t>
  </si>
  <si>
    <t>FS.7</t>
  </si>
  <si>
    <t>Other revenues from households n.e.c.</t>
  </si>
  <si>
    <t>Other revenues from corporations n.e.c.</t>
  </si>
  <si>
    <t>Other revenues from NPISH n.e.c.</t>
  </si>
  <si>
    <t>Transfers from domestic government revenue [note 5]</t>
  </si>
  <si>
    <t>Internal government transfers and grants [note 6]</t>
  </si>
  <si>
    <t>Other transfers from government domestic revenues [note 7]</t>
  </si>
  <si>
    <t>Voluntary prepayment [note 8]</t>
  </si>
  <si>
    <t>Other domestic revenues n.e.c. [note 9]</t>
  </si>
  <si>
    <t>Direct foreign transfers [note 10]</t>
  </si>
  <si>
    <t>Revenues of financing schemes (FS) are the means by which healthcare financing schemes are funded.</t>
  </si>
  <si>
    <t>Figures exclude expenditure on capital, but include consumption of capital.</t>
  </si>
  <si>
    <t>All figures are provided in current prices, unadjusted for inflation.</t>
  </si>
  <si>
    <t>Transfers from government domestic revenue (FS.1) relates to the transfer of government revenues that are used to finance healthcare.</t>
  </si>
  <si>
    <t>Internal government transfers and grants (FS.1.1) relates specifically to transfers made within central and local government to fund government-financed healthcare.</t>
  </si>
  <si>
    <t>Other transfers from government domestic revenues (FS.1.4) relates to transfers of government revenues to non-government institutional units. This includes government grants to charities.</t>
  </si>
  <si>
    <t>Voluntary prepayment (FS.5) covers voluntary private insurance premiums received by insurers and premium supplements in the form of interest earned on technical reserves.</t>
  </si>
  <si>
    <t>Other domestic revenues not elsewhere classified (FS.6) includes revenues raised by households, corporations and non-profit institutions serving households to finance healthcare spending.</t>
  </si>
  <si>
    <t>Direct foreign transfers (FS.7) concerns transfers originating from abroad that are received by domestic financing schemes. This includes grants to charities from the EU and international agencies.</t>
  </si>
  <si>
    <t>Financing scheme (HF) refers to the method of financing of healthcare. For more information on the definitions of financing schemes and revenues of financing schemes, see:</t>
  </si>
  <si>
    <t>https://www.ons.gov.uk/economy/grossdomesticproductgdp/timeseries/ihys/</t>
  </si>
  <si>
    <t>Government-financed expenditure</t>
  </si>
  <si>
    <t>Voluntary health insurance schemes</t>
  </si>
  <si>
    <t>Non-profit institutions serving households financing schemes</t>
  </si>
  <si>
    <t>Enterprise financing schemes</t>
  </si>
  <si>
    <t>Out-of-pocket expenditure</t>
  </si>
  <si>
    <t>Transfers from domestic government revenue [note 6]</t>
  </si>
  <si>
    <t>Internal government transfers and grants [note 7]</t>
  </si>
  <si>
    <t>Other transfers from government domestic revenues [note 8]</t>
  </si>
  <si>
    <t>Voluntary prepayment [note 9]</t>
  </si>
  <si>
    <t>Other domestic revenues n.e.c. [note 10]</t>
  </si>
  <si>
    <t>Direct foreign transfers [note 11]</t>
  </si>
  <si>
    <t>ICHA codes [note 5]</t>
  </si>
  <si>
    <t>Gross fixed capital formation</t>
  </si>
  <si>
    <t>Infrastructure [note 7]</t>
  </si>
  <si>
    <t>Machinery and equipment [note 8]</t>
  </si>
  <si>
    <t>Intellectual property products [note 9]</t>
  </si>
  <si>
    <t>HK.1.1</t>
  </si>
  <si>
    <t>HK.1.1.1</t>
  </si>
  <si>
    <t>HK.1.1.2</t>
  </si>
  <si>
    <t>HK.1.1.3</t>
  </si>
  <si>
    <t>ICHA codes [note 6]</t>
  </si>
  <si>
    <t>Capital formation is spending on items which are anticipated to be in use over several years and add to the stock of resources in the healthcare system, such as hospital buildings and ambulances.</t>
  </si>
  <si>
    <t>Capital formation is not part of current healthcare expenditure. Current healthcare expenditure measures capital consumption, which is the loss in value of the whole existing stock of capital.</t>
  </si>
  <si>
    <t xml:space="preserve">Capital formation within the System of Health Accounts excludes research and development, a divergence from the measurement of GFCF in the System of National Accounts. This is for better international comparison across countries. </t>
  </si>
  <si>
    <t>Asset types are classified by the International Classification of Health Accounts (ICHA), rather than GFCF asset hierarchies used within the UK national accounts.</t>
  </si>
  <si>
    <t>Spending on residential and non-residential buildings (e.g. hospitals) and other structures (e.g. emergency helicopter landing facilities).</t>
  </si>
  <si>
    <t>Spending on medical equipment expected to be in use for longer than one year (e.g. medical ventilators), transportation (e.g. ambulances), ICT equipment and other equipment (e.g. kitchen equipment used in hospitals).</t>
  </si>
  <si>
    <t>Intellectual property products include the development of computer software and databases, but excludes healthcare research and development.</t>
  </si>
  <si>
    <r>
      <t>Table 7: Types of revenues of healthcare financing [note 1, note 2]</t>
    </r>
    <r>
      <rPr>
        <b/>
        <sz val="14"/>
        <color indexed="8"/>
        <rFont val="Arial"/>
        <family val="2"/>
      </rPr>
      <t>, in real terms [note 3], £ millions, 1997 to 2020</t>
    </r>
  </si>
  <si>
    <r>
      <t>Table 1a: Current</t>
    </r>
    <r>
      <rPr>
        <b/>
        <sz val="14"/>
        <color indexed="8"/>
        <rFont val="Arial"/>
        <family val="2"/>
      </rPr>
      <t xml:space="preserve"> healthcare expenditure [note 1] by financing scheme [note 2], in nominal terms [note 3], £ millions, 1997 to 2020</t>
    </r>
  </si>
  <si>
    <r>
      <t>Table 6: Types of revenues of healthcare financing [note 1, note 2]</t>
    </r>
    <r>
      <rPr>
        <b/>
        <sz val="14"/>
        <color indexed="8"/>
        <rFont val="Arial"/>
        <family val="2"/>
      </rPr>
      <t>, in nominal terms [note 3], £ millions, 1997 to 2020</t>
    </r>
  </si>
  <si>
    <t>HF1.1</t>
  </si>
  <si>
    <t>HF2.1</t>
  </si>
  <si>
    <t>HF2.2</t>
  </si>
  <si>
    <t>HF2.3</t>
  </si>
  <si>
    <t>HF3</t>
  </si>
  <si>
    <t>Government schemes [note 8]</t>
  </si>
  <si>
    <t>Voluntary health insurance schemes [note 9]</t>
  </si>
  <si>
    <t>Enterprise financing schemes [note 11]</t>
  </si>
  <si>
    <t>Out-of-pocket expenditure [note 12]</t>
  </si>
  <si>
    <t>Function (HC) refers to the the type of care and mode of provision.</t>
  </si>
  <si>
    <t>Financing scheme (HF) refers to the method of financing of healthcare. For more information on the definitions of each function and financing scheme, see:</t>
  </si>
  <si>
    <t xml:space="preserve">http://www.oecd.org/health/health-systems/a-system-of-health-accounts-9789264116016-en.htm </t>
  </si>
  <si>
    <t>Government expenditure covers healthcare spending by the NHS, local authorities and other government bodies involved in the provision of healthcare. Figures are reported net of client contributions and grants to charities.</t>
  </si>
  <si>
    <t>Non-profit institutions serving households (NPISH) expenditure is charity expenditure funded through voluntary donations, grants and investment income, excluding charity expenditure funded through client contributions and purchases of care.</t>
  </si>
  <si>
    <t>Enterprise financing covers healthcare activity funded by organisations (primarily employers) outside of an insurance scheme.</t>
  </si>
  <si>
    <t>Note 13</t>
  </si>
  <si>
    <t>Function</t>
  </si>
  <si>
    <t>Financing scheme</t>
  </si>
  <si>
    <t>Total</t>
  </si>
  <si>
    <t>Government schemes</t>
  </si>
  <si>
    <t>Voluntary health insurance</t>
  </si>
  <si>
    <t>Non-profit institutions serving households</t>
  </si>
  <si>
    <t>Enterprise-financing</t>
  </si>
  <si>
    <t>HCR1</t>
  </si>
  <si>
    <t>[No ICHA code]</t>
  </si>
  <si>
    <t>Total long-term care</t>
  </si>
  <si>
    <t>Long-term care (social)</t>
  </si>
  <si>
    <t>Long-term care covers care services aimed at reducing suffering and managing the decline of patients with chronic health conditions (including old-age and disability-related conditions), where an improvement in health is not expected. It is split into two components, a health-related care element that is included in the measure of total current health expenditure in health accounts, and a social element relating to assistance-based services, which sits outside the health accounts.</t>
  </si>
  <si>
    <t xml:space="preserve">The category HC.3 'long-term care (health)' relates to long-term care expenditure that is considered to be health-related and is included within the measure of current healthcare expenditure. This covers expenditure on personal services, relating to Activities of Daily Living (ADLs, such as bathing, dressing and walking).  </t>
  </si>
  <si>
    <t>The category HCR.1 'long-term care (social)' is a memorandum item to the health accounts and not considered healthcare expenditure. This is long-term care expenditure on assistive-type services, relating to Instrumental Activities of Daily Living (IADLs, including shopping, cooking and managing finances).</t>
  </si>
  <si>
    <t>ICHA [note 5]</t>
  </si>
  <si>
    <t>ICHA</t>
  </si>
  <si>
    <t>Datasets</t>
  </si>
  <si>
    <t>View the contents of this dataset</t>
  </si>
  <si>
    <t>Contact Details</t>
  </si>
  <si>
    <t>Office for National Statistics</t>
  </si>
  <si>
    <t>health.accounts@ons.gov.uk</t>
  </si>
  <si>
    <t>Telephone:  +44 (0)1633 45 6551</t>
  </si>
  <si>
    <t>Date of publication: 9 May 2022</t>
  </si>
  <si>
    <t>Data from all editions of the UK Health Accounts can be found through the following link:</t>
  </si>
  <si>
    <t>https://www.ons.gov.uk/peoplepopulationandcommunity/healthandsocialcare/healthcaresystem/datasets/healthaccountsreferencetables</t>
  </si>
  <si>
    <t>The whole time series for current healthcare expenditure by financing scheme, fuction and provider between 2013 and 2020 can be found in our accompanying csv file:</t>
  </si>
  <si>
    <t>Health accounts current healthcare expenditure data 2013 to 2020</t>
  </si>
  <si>
    <t>Health accounts financing data 1997 to 2020</t>
  </si>
  <si>
    <t>Contents</t>
  </si>
  <si>
    <t>HEALTHCARE EXPENDITURE, UK HEALTH ACCOUNTS 2020</t>
  </si>
  <si>
    <t>Table 1_a</t>
  </si>
  <si>
    <t>Current healthcare expenditure by financing scheme, in nominal terms, 1997 to 2020</t>
  </si>
  <si>
    <t>Table 1_b</t>
  </si>
  <si>
    <t>Annual rate of growth in current healthcare expenditure by financing scheme, in nominal terms, 1997 to 2020</t>
  </si>
  <si>
    <t>Table 1_c</t>
  </si>
  <si>
    <t>Current healthcare expenditure per person by financing scheme, in nominal terms, 1997 to 2020</t>
  </si>
  <si>
    <t>Table 1_d</t>
  </si>
  <si>
    <t>Share of current healthcare expenditure by financing scheme, in nominal terms, 1997 to 2020</t>
  </si>
  <si>
    <t>Table 1_e</t>
  </si>
  <si>
    <t>Current healthcare expenditure as per cent of gross domestic product by financing scheme, in nominal terms, 1997 to 2020</t>
  </si>
  <si>
    <t xml:space="preserve">Table 2_a </t>
  </si>
  <si>
    <t>Current healthcare expenditure by financing scheme, in real terms, 1997 to 2020</t>
  </si>
  <si>
    <t>Table 2_b</t>
  </si>
  <si>
    <t>Annual rate of growth in current healthcare expenditure by financing scheme, in real terms, 1997 to 2020</t>
  </si>
  <si>
    <t>Table 2_c</t>
  </si>
  <si>
    <t>Current healthcare expenditure per person by financing scheme, in real terms, 1997 to 2020</t>
  </si>
  <si>
    <t>Table 3_a</t>
  </si>
  <si>
    <t>Total current healthcare expenditure by healthcare function and healthcare provider, in nominal terms, 2020</t>
  </si>
  <si>
    <t>Table 3_b</t>
  </si>
  <si>
    <t>Government-financed current healthcare expenditure by healthcare function and healthcare provider, in nominal terms, 2020</t>
  </si>
  <si>
    <t>Table 3_c</t>
  </si>
  <si>
    <t>Voluntary health insurance current healthcare expenditure by healthcare function and healthcare provider, in nominal terms, 2020</t>
  </si>
  <si>
    <t>Table 3_d</t>
  </si>
  <si>
    <t>Non-profit institutions serving households current healthcare expenditure by healthcare function and healthcare provider, in nominal terms, 2020</t>
  </si>
  <si>
    <t>Table 3_e</t>
  </si>
  <si>
    <t>Enterprise-financing of current healthcare expenditure by healthcare function and healthcare provider, in nominal terms, 2020</t>
  </si>
  <si>
    <t>Table 3_f</t>
  </si>
  <si>
    <t>Out-of-pocket current healthcare expenditure by healthcare function and healthcare provider, in nominal terms, 2020</t>
  </si>
  <si>
    <t>Table 4</t>
  </si>
  <si>
    <t>Long-term care expenditure by function and financing scheme, in nominal terms, 2013 to 2020</t>
  </si>
  <si>
    <t>Table 5</t>
  </si>
  <si>
    <t>Long-term care expenditure by function and financing scheme, in real terms, 2013 to 2020</t>
  </si>
  <si>
    <t>Table 6</t>
  </si>
  <si>
    <t>Types of revenues of healthcare financing, in nominal terms, 1997 to 2020</t>
  </si>
  <si>
    <t>Table 7</t>
  </si>
  <si>
    <t>Types of revenues of healthcare financing, in real terms, 1997 to 2020</t>
  </si>
  <si>
    <t>Table 8</t>
  </si>
  <si>
    <t>Types of revenues of healthcare financing by financing scheme, 2020</t>
  </si>
  <si>
    <t>Table 9</t>
  </si>
  <si>
    <t>Gross fixed capital formation in health systems by type of asset, in nominal terms, 1997 to 2020</t>
  </si>
  <si>
    <t>Table 10</t>
  </si>
  <si>
    <t>Gross fixed capital formation in health systems by type of asset, in real terms, 1997 to 2020</t>
  </si>
  <si>
    <t>Table 11_a</t>
  </si>
  <si>
    <t>Table 11_b</t>
  </si>
  <si>
    <t>Current healthcare expenditure by financing scheme, as presented in "Healthcare expenditure, UK health accounts: 2019", 1997 to 2019</t>
  </si>
  <si>
    <t>Table 12_a</t>
  </si>
  <si>
    <t>Table 12_b</t>
  </si>
  <si>
    <t>Current healthcare expenditure by healthcare function and financing scheme for 2019 as presented in  "Healthcare expenditure, UK health accounts: 2019"</t>
  </si>
  <si>
    <t>Table 13_a</t>
  </si>
  <si>
    <t>Revisions to capital expenditure by asset type, 1997 to 2019</t>
  </si>
  <si>
    <t>Table 13_b</t>
  </si>
  <si>
    <t>Gross fixed capital formation in health systems by type of asset as presented in  "Healthcare expenditure, UK health accounts: 2019"</t>
  </si>
  <si>
    <t>James Cooper &amp; Thomas Prendergast</t>
  </si>
  <si>
    <t>All figures are provided in real terms (2020 prices), adjusted for inflation. The GDP deflator [data released 31st March 2022] was used to deflate current price expenditure.</t>
  </si>
  <si>
    <t>https://www.ons.gov.uk/peoplepopulationandcommunity/healthandsocialcare/healthcaresystem/methodologies/introductiontohealthaccounts</t>
  </si>
  <si>
    <t>Note 2 cont.</t>
  </si>
  <si>
    <t xml:space="preserve">Note 4 cont. </t>
  </si>
  <si>
    <t xml:space="preserve">Note 2 cont. </t>
  </si>
  <si>
    <t>Note 3 cont.</t>
  </si>
  <si>
    <t>Note 4 cont.</t>
  </si>
  <si>
    <t>Note 5 cont.</t>
  </si>
  <si>
    <t xml:space="preserve">Note 5 cont. </t>
  </si>
  <si>
    <t>Note 6 cont.</t>
  </si>
  <si>
    <t>Note 7 cont.</t>
  </si>
  <si>
    <t>"Healthcare expenditure, UK health accounts: 2019" is available at:</t>
  </si>
  <si>
    <t>Revisions are calculated by subtracting the figures from last year's "Healthcare expenditure, UK Health Accounts: 2019" publication from the figures produced this year.</t>
  </si>
  <si>
    <t>https://www.ons.gov.uk/peoplepopulationandcommunity/healthandsocialcare/healthcaresystem/bulletins/ukhealthaccounts/2019</t>
  </si>
  <si>
    <t>Revisions are calculated by subtracting the figures from last year's "Healthcare expenditure, UK Health Accounts: 2019" publication from the figures produced this year (see Table 1a).</t>
  </si>
  <si>
    <r>
      <t>Table 11a: Revisions [note 1] to current</t>
    </r>
    <r>
      <rPr>
        <b/>
        <sz val="14"/>
        <color indexed="8"/>
        <rFont val="Arial"/>
        <family val="2"/>
      </rPr>
      <t xml:space="preserve"> healthcare expenditure [note 2] by financing scheme [note 3], in nominal terms [note 4], £ millions, 1997 to 2019</t>
    </r>
  </si>
  <si>
    <t>OFFICE FOR NATIONAL STATISTICS</t>
  </si>
  <si>
    <t>The whole time series for current healthcare expenditure by financing scheme and revenues of financing schemes between 1997 and 2020 can be found in our accompanying csv file:</t>
  </si>
  <si>
    <t>Revisions to current healthcare expenditure by financing scheme, 1997 to 2019</t>
  </si>
  <si>
    <t>HC.3</t>
  </si>
  <si>
    <t>HC.3.1</t>
  </si>
  <si>
    <t>HC.3.2</t>
  </si>
  <si>
    <t>HC.3.3</t>
  </si>
  <si>
    <t>HC.3.4</t>
  </si>
  <si>
    <t>HC.4</t>
  </si>
  <si>
    <t>HC.5</t>
  </si>
  <si>
    <t>HC.5.1</t>
  </si>
  <si>
    <t>HC.5.1.1</t>
  </si>
  <si>
    <t>HC.5.1.2</t>
  </si>
  <si>
    <t>HC.5.1.3</t>
  </si>
  <si>
    <t>HC.5.2</t>
  </si>
  <si>
    <t>HC.6</t>
  </si>
  <si>
    <t>HC.6.1</t>
  </si>
  <si>
    <t>HC.6.2</t>
  </si>
  <si>
    <t>HC.6.3</t>
  </si>
  <si>
    <t>HC.6.4</t>
  </si>
  <si>
    <t>HC.6.5</t>
  </si>
  <si>
    <t>HC.7</t>
  </si>
  <si>
    <t>HC.7.1</t>
  </si>
  <si>
    <t>HC.7.2</t>
  </si>
  <si>
    <t>HC.0</t>
  </si>
  <si>
    <t xml:space="preserve">There is one table on this worksheet. Cells with no data are marked as [no data], and are present as an additional row has been added for explaining the labels of certain columns. </t>
  </si>
  <si>
    <t>Table 3b: Government-financed [note 1] current [note 2] healthcare expenditure by healthcare function [note 3] and healthcare provider [note 4], in nominal terms [note 5], £ millions, 2020</t>
  </si>
  <si>
    <t>IHCA codes [note 6]</t>
  </si>
  <si>
    <t>Other ambulatory providers [note 7]</t>
  </si>
  <si>
    <t>Table 3c: Voluntary health insurance [note 1] current [note 2] healthcare expenditure by healthcare function [note 3] and healthcare provider [note 4], in nominal terms [note 5], £ millions, 2020</t>
  </si>
  <si>
    <t>Table 3d: Non-profit institutions supporting households [note 1] current [note 2] healthcare expenditure by healthcare function [note 3] and healthcare provider [note 4], in nominal terms [note 5], £ millions, 2020</t>
  </si>
  <si>
    <t>Table 3e: Enterprise financing [note 1] of current [note 2] healthcare expenditure by healthcare function [note 3] and healthcare provider [note 4], in nominal terms [note 5], £ millions, 2020</t>
  </si>
  <si>
    <t>Table 3f: Out-of-pocket [note 1] current [note 2] healthcare expenditure by healthcare function [note 3] and healthcare provider [note 4], in nominal terms [note 5], £ millions, 2020</t>
  </si>
  <si>
    <t>Government-financed expenditure [note 7]</t>
  </si>
  <si>
    <t>Voluntary health insurance schemes [note 8]</t>
  </si>
  <si>
    <t>Non-profit institutions serving households financing schemes [note 9]</t>
  </si>
  <si>
    <t>Enterprise financing schemes [note 10]</t>
  </si>
  <si>
    <t>Out-of-pocket expenditure [note 11]</t>
  </si>
  <si>
    <t>IHCA codes [note 7]</t>
  </si>
  <si>
    <t>Non-profit institutions serving households [note 10]</t>
  </si>
  <si>
    <r>
      <t>Table 11b: Current</t>
    </r>
    <r>
      <rPr>
        <b/>
        <sz val="14"/>
        <color indexed="8"/>
        <rFont val="Arial"/>
        <family val="2"/>
      </rPr>
      <t xml:space="preserve"> healthcare expenditure [note 1] by financing scheme [note 2], as presented in as presented in "Healthcare expenditure, UK health accounts: 2019" [note 3], £ millions, 1997 to 2019</t>
    </r>
  </si>
  <si>
    <t xml:space="preserve">Note 3 cont. </t>
  </si>
  <si>
    <t>ICHA codes [note 7]</t>
  </si>
  <si>
    <t>Infrastructure [note 8]</t>
  </si>
  <si>
    <t>Machinery and equipment [note 9]</t>
  </si>
  <si>
    <t>Intellectual property products [note 10]</t>
  </si>
  <si>
    <r>
      <t>Table 4: Long-term care expenditure [note 1]</t>
    </r>
    <r>
      <rPr>
        <b/>
        <sz val="14"/>
        <color indexed="8"/>
        <rFont val="Arial"/>
        <family val="2"/>
      </rPr>
      <t xml:space="preserve"> by function [note 2]</t>
    </r>
    <r>
      <rPr>
        <b/>
        <vertAlign val="superscript"/>
        <sz val="14"/>
        <color indexed="8"/>
        <rFont val="Arial"/>
        <family val="2"/>
      </rPr>
      <t xml:space="preserve"> </t>
    </r>
    <r>
      <rPr>
        <b/>
        <sz val="14"/>
        <color indexed="8"/>
        <rFont val="Arial"/>
        <family val="2"/>
      </rPr>
      <t>and financing scheme [note 3] in nominal terms [note 4], £ millions, 2013</t>
    </r>
    <r>
      <rPr>
        <b/>
        <sz val="14"/>
        <color theme="1"/>
        <rFont val="Arial"/>
        <family val="2"/>
      </rPr>
      <t xml:space="preserve"> to 2020</t>
    </r>
  </si>
  <si>
    <r>
      <t>Table 5: Long-term care expenditure [note 1]</t>
    </r>
    <r>
      <rPr>
        <b/>
        <sz val="14"/>
        <color indexed="8"/>
        <rFont val="Arial"/>
        <family val="2"/>
      </rPr>
      <t xml:space="preserve"> by function [note 2]</t>
    </r>
    <r>
      <rPr>
        <b/>
        <vertAlign val="superscript"/>
        <sz val="14"/>
        <color indexed="8"/>
        <rFont val="Arial"/>
        <family val="2"/>
      </rPr>
      <t xml:space="preserve"> </t>
    </r>
    <r>
      <rPr>
        <b/>
        <sz val="14"/>
        <color indexed="8"/>
        <rFont val="Arial"/>
        <family val="2"/>
      </rPr>
      <t>and financing scheme [note 3] in real terms [note 4], £ millions, 2013</t>
    </r>
    <r>
      <rPr>
        <b/>
        <sz val="14"/>
        <color theme="1"/>
        <rFont val="Arial"/>
        <family val="2"/>
      </rPr>
      <t xml:space="preserve"> to 2020</t>
    </r>
  </si>
  <si>
    <r>
      <t>Table 8: Types of revenues of healthcare financing [note 1, note 2]</t>
    </r>
    <r>
      <rPr>
        <b/>
        <sz val="14"/>
        <color indexed="8"/>
        <rFont val="Arial"/>
        <family val="2"/>
      </rPr>
      <t xml:space="preserve"> by financing scheme [note 3], in nominal terms [note 4], £ millions, 2020</t>
    </r>
  </si>
  <si>
    <t>Table 9: Gross fixed capital formation [note 1, note 2, note 3] in health systems by type of asset [note 4], in nominal terms [note 5], £ millions, 1997 to 2020</t>
  </si>
  <si>
    <t>Table 10: Gross fixed capital formation [note 1, note 2, note 3] in health systems by type of asset [note 4], in real terms [note 5], £ millions, 1997 to 2020</t>
  </si>
  <si>
    <t>Table 12b: Current healthcare expenditure [note 2, note 3] by healthcare function [note 4] and financing scheme [note 5] for 2019 as presented in  "Healthcare expenditure, UK health accounts: 2019" [note 6], £ millions</t>
  </si>
  <si>
    <t>Table 13a: Revisions [note 1] to gross fixed capital formation [note 2, note 3, note 4] in health systems by type of asset [note 5], £ millions, 1997 to 2019</t>
  </si>
  <si>
    <t>Table 13b: Gross fixed capital formation [note 2, note 3, note 4] in health systems by type of asset [note 5], 1997 to 2019, as presented in "Healthcare expenditure, UK health accounts: 2019" [note 6], £ millions</t>
  </si>
  <si>
    <t>UK Health Accounts 2020 Reference Tables</t>
  </si>
  <si>
    <t>Table 2b: Annual rate of growth rate in current healthcare expenditure [note 1] by financing scheme [note 2], in real terms [note 3], per cent growth, 1998 to 2020</t>
  </si>
  <si>
    <t>Table 1b: Annual rate of growth rate in current healthcare expenditure [note 1] by financing scheme [note 2], in nominal terms [note 3], per cent growth, 1998 to 2020</t>
  </si>
  <si>
    <t>Table 1d: Share of current healthcare expenditure [note 1] by financing scheme [note 2], in nominal terms [note 3], per cent share, 1997 to 2020</t>
  </si>
  <si>
    <t>Table 1e: Current healthcare expenditure [note 1] as per cent of gross domestic product (GDP) by financing scheme [note 2], in nominal terms [note 3], per cent share, 1997 to 2020</t>
  </si>
  <si>
    <t>Table 12a: Revisions [note 1] to current healthcare expenditure[ note 2, note 3] by healthcare function [note 4] and financing scheme [note 5], £ millions, 2019</t>
  </si>
  <si>
    <t>Revisions to current healthcare expenditure by healthcare function and financing scheme,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</si>
</sst>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6">
    <font>
      <sz val="12"/>
      <color theme="1"/>
      <name val="Arial"/>
      <family val="2"/>
    </font>
    <font>
      <sz val="12"/>
      <color theme="1"/>
      <name val="Arial"/>
      <family val="2"/>
    </font>
    <font>
      <b/>
      <sz val="12"/>
      <color theme="1"/>
      <name val="Arial"/>
      <family val="2"/>
    </font>
    <font>
      <b/>
      <sz val="12"/>
      <color indexed="8"/>
      <name val="Arial"/>
      <family val="2"/>
    </font>
    <font>
      <b/>
      <sz val="12"/>
      <name val="Arial"/>
      <family val="2"/>
    </font>
    <font>
      <b/>
      <sz val="14"/>
      <color theme="1"/>
      <name val="Arial"/>
      <family val="2"/>
    </font>
    <font>
      <sz val="10"/>
      <color theme="1"/>
      <name val="Arial"/>
      <family val="2"/>
    </font>
    <font>
      <b/>
      <sz val="11"/>
      <color theme="1"/>
      <name val="Arial"/>
      <family val="2"/>
    </font>
    <font>
      <sz val="10"/>
      <name val="Arial"/>
      <family val="2"/>
    </font>
    <font>
      <sz val="8"/>
      <name val="Arial"/>
      <family val="2"/>
    </font>
    <font>
      <vertAlign val="superscript"/>
      <sz val="12"/>
      <color theme="1"/>
      <name val="Arial"/>
      <family val="2"/>
    </font>
    <font>
      <u/>
      <sz val="12"/>
      <color theme="10"/>
      <name val="Arial"/>
      <family val="2"/>
    </font>
    <font>
      <u/>
      <sz val="11"/>
      <color theme="10"/>
      <name val="Calibri"/>
      <family val="2"/>
    </font>
    <font>
      <u/>
      <sz val="10"/>
      <color theme="10"/>
      <name val="Arial"/>
      <family val="2"/>
    </font>
    <font>
      <sz val="12"/>
      <name val="Arial"/>
      <family val="2"/>
    </font>
    <font>
      <b/>
      <sz val="14"/>
      <color indexed="8"/>
      <name val="Arial"/>
      <family val="2"/>
    </font>
    <font>
      <b/>
      <vertAlign val="superscript"/>
      <sz val="14"/>
      <color indexed="8"/>
      <name val="Arial"/>
      <family val="2"/>
    </font>
    <font>
      <sz val="11"/>
      <color theme="1"/>
      <name val="Calibri"/>
      <family val="2"/>
      <scheme val="minor"/>
    </font>
    <font>
      <sz val="10"/>
      <color indexed="10"/>
      <name val="Arial"/>
      <family val="2"/>
    </font>
    <font>
      <sz val="22"/>
      <name val="Calibri"/>
      <family val="2"/>
      <scheme val="minor"/>
    </font>
    <font>
      <b/>
      <sz val="16"/>
      <name val="Calibri "/>
    </font>
    <font>
      <u/>
      <sz val="10"/>
      <color indexed="12"/>
      <name val="Arial"/>
      <family val="2"/>
    </font>
    <font>
      <u/>
      <sz val="14"/>
      <color indexed="12"/>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theme="0"/>
      <name val="Calibri"/>
      <family val="2"/>
      <scheme val="minor"/>
    </font>
    <font>
      <b/>
      <sz val="11"/>
      <color theme="0"/>
      <name val="Calibri"/>
      <family val="2"/>
      <scheme val="minor"/>
    </font>
    <font>
      <b/>
      <sz val="16"/>
      <name val="Calibri"/>
      <family val="2"/>
      <scheme val="minor"/>
    </font>
    <font>
      <i/>
      <sz val="10"/>
      <color theme="1"/>
      <name val="Calibri"/>
      <family val="2"/>
      <scheme val="minor"/>
    </font>
    <font>
      <i/>
      <sz val="11"/>
      <color theme="1"/>
      <name val="Calibri"/>
      <family val="2"/>
      <scheme val="minor"/>
    </font>
    <font>
      <u/>
      <sz val="11"/>
      <color rgb="FF0000FF"/>
      <name val="Calibri"/>
      <family val="2"/>
      <scheme val="minor"/>
    </font>
    <font>
      <b/>
      <sz val="22"/>
      <name val="Calibri"/>
      <family val="2"/>
      <scheme val="minor"/>
    </font>
    <font>
      <sz val="16"/>
      <name val="Calibri "/>
    </font>
    <font>
      <b/>
      <sz val="16"/>
      <name val="Arial"/>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9">
    <xf numFmtId="0" fontId="0" fillId="0" borderId="0"/>
    <xf numFmtId="0" fontId="11" fillId="0" borderId="0" applyNumberFormat="0" applyFill="0" applyBorder="0" applyAlignment="0" applyProtection="0"/>
    <xf numFmtId="0" fontId="17" fillId="0" borderId="0"/>
    <xf numFmtId="0" fontId="21" fillId="0" borderId="0" applyNumberFormat="0" applyFill="0" applyBorder="0" applyAlignment="0" applyProtection="0">
      <alignment vertical="top"/>
      <protection locked="0"/>
    </xf>
    <xf numFmtId="0" fontId="24"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7" fillId="0" borderId="0"/>
    <xf numFmtId="9" fontId="1" fillId="0" borderId="0" applyFont="0" applyFill="0" applyBorder="0" applyAlignment="0" applyProtection="0"/>
  </cellStyleXfs>
  <cellXfs count="94">
    <xf numFmtId="0" fontId="0" fillId="0" borderId="0" xfId="0"/>
    <xf numFmtId="0" fontId="2" fillId="0" borderId="0" xfId="0" applyFont="1"/>
    <xf numFmtId="0" fontId="2" fillId="0" borderId="0" xfId="0" applyFont="1" applyAlignment="1">
      <alignment horizontal="right"/>
    </xf>
    <xf numFmtId="0" fontId="1" fillId="0" borderId="0" xfId="0" applyFont="1" applyAlignment="1">
      <alignment horizontal="right" wrapText="1"/>
    </xf>
    <xf numFmtId="0" fontId="0" fillId="0" borderId="0" xfId="0" applyFont="1" applyAlignment="1">
      <alignment horizontal="right"/>
    </xf>
    <xf numFmtId="0" fontId="0" fillId="0" borderId="0" xfId="0" applyFont="1" applyAlignment="1">
      <alignment horizontal="left" wrapText="1"/>
    </xf>
    <xf numFmtId="0" fontId="4" fillId="2" borderId="1" xfId="0" applyFont="1" applyFill="1" applyBorder="1"/>
    <xf numFmtId="0" fontId="4" fillId="2" borderId="2" xfId="0" applyFont="1" applyFill="1" applyBorder="1" applyAlignment="1">
      <alignment horizontal="right" wrapText="1"/>
    </xf>
    <xf numFmtId="0" fontId="4" fillId="2" borderId="2" xfId="0" applyFont="1" applyFill="1" applyBorder="1"/>
    <xf numFmtId="0" fontId="0" fillId="0" borderId="2" xfId="0" applyBorder="1"/>
    <xf numFmtId="0" fontId="0" fillId="0" borderId="0" xfId="0" applyFont="1" applyAlignment="1">
      <alignment horizontal="right" wrapText="1"/>
    </xf>
    <xf numFmtId="0" fontId="0" fillId="0" borderId="0" xfId="0" applyFont="1"/>
    <xf numFmtId="0" fontId="5" fillId="0" borderId="0" xfId="0" applyFont="1"/>
    <xf numFmtId="0" fontId="2" fillId="0" borderId="0" xfId="0" applyFont="1" applyAlignment="1">
      <alignment horizontal="left"/>
    </xf>
    <xf numFmtId="0" fontId="6" fillId="0" borderId="4" xfId="0" applyFont="1" applyBorder="1" applyAlignment="1">
      <alignment horizontal="left"/>
    </xf>
    <xf numFmtId="0" fontId="2" fillId="0" borderId="3" xfId="0" applyFont="1" applyBorder="1" applyAlignment="1">
      <alignment horizontal="left"/>
    </xf>
    <xf numFmtId="0" fontId="0" fillId="0" borderId="3" xfId="0" applyFont="1" applyBorder="1" applyAlignment="1">
      <alignment horizontal="left"/>
    </xf>
    <xf numFmtId="0" fontId="6" fillId="0" borderId="0" xfId="0" applyFont="1" applyAlignment="1">
      <alignment vertical="top"/>
    </xf>
    <xf numFmtId="0" fontId="0" fillId="0" borderId="0" xfId="0" applyFont="1" applyAlignment="1">
      <alignment vertical="top"/>
    </xf>
    <xf numFmtId="0" fontId="11" fillId="0" borderId="0" xfId="1" applyFont="1" applyAlignment="1" applyProtection="1">
      <alignment vertical="top"/>
    </xf>
    <xf numFmtId="0" fontId="7" fillId="0" borderId="1" xfId="0" applyFont="1" applyBorder="1" applyAlignment="1">
      <alignment horizontal="left" vertical="center" wrapText="1"/>
    </xf>
    <xf numFmtId="0" fontId="0" fillId="0" borderId="1" xfId="0" applyFont="1" applyBorder="1" applyAlignment="1">
      <alignment horizontal="left" vertical="center" wrapText="1"/>
    </xf>
    <xf numFmtId="0" fontId="6" fillId="0" borderId="1" xfId="0" applyFont="1" applyBorder="1" applyAlignment="1">
      <alignment horizontal="left" wrapText="1"/>
    </xf>
    <xf numFmtId="0" fontId="4" fillId="2" borderId="0" xfId="0" applyFont="1" applyFill="1" applyAlignment="1">
      <alignment horizontal="left" wrapText="1"/>
    </xf>
    <xf numFmtId="0" fontId="14" fillId="2" borderId="0" xfId="0" applyFont="1" applyFill="1" applyAlignment="1">
      <alignment horizontal="left" wrapText="1"/>
    </xf>
    <xf numFmtId="0" fontId="14" fillId="2" borderId="0" xfId="0" applyFont="1" applyFill="1" applyAlignment="1">
      <alignment horizontal="left"/>
    </xf>
    <xf numFmtId="0" fontId="8" fillId="2" borderId="0" xfId="0" applyFont="1" applyFill="1" applyAlignment="1">
      <alignment vertical="top"/>
    </xf>
    <xf numFmtId="0" fontId="13" fillId="0" borderId="0" xfId="1" applyFont="1" applyFill="1" applyAlignment="1" applyProtection="1">
      <alignment vertical="top"/>
    </xf>
    <xf numFmtId="0" fontId="14" fillId="2" borderId="0" xfId="0" applyFont="1" applyFill="1" applyAlignment="1">
      <alignment vertical="top"/>
    </xf>
    <xf numFmtId="0" fontId="11" fillId="0" borderId="0" xfId="1" applyFont="1" applyFill="1" applyAlignment="1" applyProtection="1">
      <alignment vertical="top"/>
    </xf>
    <xf numFmtId="0" fontId="4" fillId="2" borderId="0" xfId="0" applyFont="1" applyFill="1" applyAlignment="1">
      <alignment horizontal="left"/>
    </xf>
    <xf numFmtId="0" fontId="4" fillId="2" borderId="2" xfId="0" applyFont="1" applyFill="1" applyBorder="1" applyAlignment="1">
      <alignment horizontal="left" wrapText="1"/>
    </xf>
    <xf numFmtId="0" fontId="3" fillId="0" borderId="1" xfId="0" applyFont="1" applyBorder="1" applyAlignment="1">
      <alignment horizontal="left" wrapText="1"/>
    </xf>
    <xf numFmtId="0" fontId="0" fillId="0" borderId="1" xfId="0" applyFont="1" applyBorder="1" applyAlignment="1">
      <alignment horizontal="left" wrapText="1"/>
    </xf>
    <xf numFmtId="0" fontId="14" fillId="2" borderId="0" xfId="0" applyFont="1" applyFill="1" applyAlignment="1">
      <alignment vertical="top" wrapText="1"/>
    </xf>
    <xf numFmtId="0" fontId="10" fillId="0" borderId="0" xfId="0" applyFont="1"/>
    <xf numFmtId="0" fontId="4" fillId="2" borderId="2" xfId="0" applyFont="1" applyFill="1" applyBorder="1" applyAlignment="1">
      <alignment horizontal="left"/>
    </xf>
    <xf numFmtId="0" fontId="14" fillId="2" borderId="3" xfId="0" applyFont="1" applyFill="1" applyBorder="1"/>
    <xf numFmtId="0" fontId="0" fillId="0" borderId="5" xfId="0" applyFont="1" applyBorder="1" applyAlignment="1">
      <alignment horizontal="left" wrapText="1"/>
    </xf>
    <xf numFmtId="0" fontId="1" fillId="0" borderId="3" xfId="0" applyFont="1" applyBorder="1" applyAlignment="1">
      <alignment horizontal="left" wrapText="1"/>
    </xf>
    <xf numFmtId="0" fontId="2" fillId="0" borderId="5" xfId="0" applyFont="1" applyBorder="1" applyAlignment="1">
      <alignment horizontal="left"/>
    </xf>
    <xf numFmtId="0" fontId="4" fillId="2" borderId="3" xfId="0" applyFont="1" applyFill="1" applyBorder="1" applyAlignment="1">
      <alignment horizontal="left"/>
    </xf>
    <xf numFmtId="0" fontId="4" fillId="2" borderId="6" xfId="0" applyFont="1" applyFill="1" applyBorder="1"/>
    <xf numFmtId="0" fontId="0" fillId="0" borderId="3" xfId="0" applyFont="1" applyBorder="1" applyAlignment="1">
      <alignment horizontal="left" wrapText="1"/>
    </xf>
    <xf numFmtId="0" fontId="4" fillId="2" borderId="4" xfId="0" applyFont="1" applyFill="1" applyBorder="1"/>
    <xf numFmtId="0" fontId="2" fillId="0" borderId="3" xfId="0" applyFont="1" applyBorder="1"/>
    <xf numFmtId="0" fontId="0" fillId="0" borderId="3" xfId="0" applyFont="1" applyBorder="1"/>
    <xf numFmtId="0" fontId="6" fillId="0" borderId="0" xfId="0" applyFont="1" applyAlignment="1">
      <alignment horizontal="left" vertical="top"/>
    </xf>
    <xf numFmtId="0" fontId="6" fillId="0" borderId="0" xfId="0" applyFont="1" applyAlignment="1">
      <alignment vertical="top" wrapText="1"/>
    </xf>
    <xf numFmtId="0" fontId="0" fillId="0" borderId="0" xfId="0" applyFont="1" applyAlignment="1">
      <alignment horizontal="left" vertical="top"/>
    </xf>
    <xf numFmtId="0" fontId="18" fillId="0" borderId="0" xfId="2" applyFont="1"/>
    <xf numFmtId="0" fontId="17" fillId="0" borderId="0" xfId="2"/>
    <xf numFmtId="0" fontId="19" fillId="0" borderId="0" xfId="2" applyFont="1" applyAlignment="1">
      <alignment vertical="center"/>
    </xf>
    <xf numFmtId="0" fontId="22" fillId="0" borderId="0" xfId="3" applyFont="1" applyAlignment="1" applyProtection="1"/>
    <xf numFmtId="0" fontId="23" fillId="0" borderId="0" xfId="2" applyFont="1"/>
    <xf numFmtId="0" fontId="17" fillId="2" borderId="0" xfId="2" applyFill="1"/>
    <xf numFmtId="0" fontId="24" fillId="0" borderId="0" xfId="4"/>
    <xf numFmtId="0" fontId="25" fillId="0" borderId="0" xfId="5" applyFont="1" applyFill="1" applyAlignment="1" applyProtection="1"/>
    <xf numFmtId="0" fontId="12" fillId="0" borderId="0" xfId="6" applyFill="1" applyAlignment="1" applyProtection="1"/>
    <xf numFmtId="3" fontId="17" fillId="0" borderId="0" xfId="2" applyNumberFormat="1"/>
    <xf numFmtId="0" fontId="25" fillId="0" borderId="0" xfId="7" applyFont="1"/>
    <xf numFmtId="0" fontId="12" fillId="0" borderId="0" xfId="6" quotePrefix="1" applyFill="1" applyAlignment="1" applyProtection="1"/>
    <xf numFmtId="0" fontId="26" fillId="0" borderId="0" xfId="2" applyFont="1"/>
    <xf numFmtId="0" fontId="27" fillId="0" borderId="0" xfId="2" applyFont="1"/>
    <xf numFmtId="0" fontId="25" fillId="0" borderId="0" xfId="2" applyFont="1"/>
    <xf numFmtId="0" fontId="28" fillId="0" borderId="0" xfId="2" applyFont="1" applyAlignment="1">
      <alignment horizontal="right"/>
    </xf>
    <xf numFmtId="0" fontId="26" fillId="0" borderId="0" xfId="2" applyFont="1" applyAlignment="1">
      <alignment vertical="center"/>
    </xf>
    <xf numFmtId="0" fontId="29" fillId="0" borderId="0" xfId="7" applyFont="1" applyAlignment="1">
      <alignment vertical="center"/>
    </xf>
    <xf numFmtId="0" fontId="17" fillId="0" borderId="0" xfId="7"/>
    <xf numFmtId="0" fontId="30" fillId="0" borderId="0" xfId="7" applyFont="1"/>
    <xf numFmtId="0" fontId="31" fillId="0" borderId="0" xfId="7" applyFont="1"/>
    <xf numFmtId="0" fontId="32" fillId="0" borderId="0" xfId="5" applyFont="1" applyFill="1" applyAlignment="1" applyProtection="1"/>
    <xf numFmtId="0" fontId="32" fillId="0" borderId="0" xfId="5" quotePrefix="1" applyFont="1" applyFill="1"/>
    <xf numFmtId="3" fontId="0" fillId="0" borderId="0" xfId="0" applyNumberFormat="1"/>
    <xf numFmtId="9" fontId="0" fillId="0" borderId="0" xfId="8" applyFont="1"/>
    <xf numFmtId="164" fontId="0" fillId="0" borderId="0" xfId="8" applyNumberFormat="1" applyFont="1"/>
    <xf numFmtId="1" fontId="0" fillId="0" borderId="0" xfId="0" applyNumberFormat="1"/>
    <xf numFmtId="9" fontId="0" fillId="0" borderId="0" xfId="8" applyNumberFormat="1" applyFont="1"/>
    <xf numFmtId="0" fontId="11" fillId="0" borderId="0" xfId="1"/>
    <xf numFmtId="3" fontId="0" fillId="0" borderId="0" xfId="0" applyNumberFormat="1" applyFont="1"/>
    <xf numFmtId="1" fontId="0" fillId="0" borderId="0" xfId="0" applyNumberFormat="1" applyFont="1"/>
    <xf numFmtId="0" fontId="11" fillId="0" borderId="0" xfId="1" applyAlignment="1" applyProtection="1">
      <alignment vertical="top"/>
    </xf>
    <xf numFmtId="0" fontId="20" fillId="0" borderId="0" xfId="2" applyFont="1" applyAlignment="1">
      <alignment vertical="center" wrapText="1"/>
    </xf>
    <xf numFmtId="0" fontId="33" fillId="0" borderId="0" xfId="2" applyFont="1"/>
    <xf numFmtId="0" fontId="34" fillId="0" borderId="0" xfId="2" applyFont="1" applyAlignment="1">
      <alignment vertical="center" wrapText="1"/>
    </xf>
    <xf numFmtId="0" fontId="35" fillId="0" borderId="0" xfId="7" applyFont="1" applyAlignment="1">
      <alignment vertical="center"/>
    </xf>
    <xf numFmtId="0" fontId="2" fillId="2" borderId="0" xfId="7" applyFont="1" applyFill="1"/>
    <xf numFmtId="0" fontId="1" fillId="0" borderId="0" xfId="7" applyFont="1" applyAlignment="1">
      <alignment horizontal="left"/>
    </xf>
    <xf numFmtId="0" fontId="4" fillId="2" borderId="0" xfId="0" applyFont="1" applyFill="1" applyAlignment="1">
      <alignment horizontal="right" wrapText="1"/>
    </xf>
    <xf numFmtId="0" fontId="0" fillId="0" borderId="0" xfId="0" applyFont="1" applyAlignment="1"/>
    <xf numFmtId="0" fontId="11" fillId="0" borderId="0" xfId="1" applyFont="1" applyAlignment="1">
      <alignment vertical="top"/>
    </xf>
    <xf numFmtId="0" fontId="11" fillId="0" borderId="0" xfId="1" applyFill="1"/>
    <xf numFmtId="0" fontId="11" fillId="0" borderId="0" xfId="1" applyAlignment="1" applyProtection="1"/>
    <xf numFmtId="0" fontId="11" fillId="0" borderId="0" xfId="1" applyFont="1" applyFill="1" applyAlignment="1" applyProtection="1">
      <alignment horizontal="left" vertical="top"/>
    </xf>
  </cellXfs>
  <cellStyles count="9">
    <cellStyle name="Hyperlink" xfId="1" builtinId="8"/>
    <cellStyle name="Hyperlink 2" xfId="6" xr:uid="{AEE3C1A6-B04A-43D7-9C1D-4545D01E1BCD}"/>
    <cellStyle name="Hyperlink 2 2" xfId="3" xr:uid="{A4A36B29-9145-41CA-8DB6-1B17E4602072}"/>
    <cellStyle name="Hyperlink 2 3" xfId="5" xr:uid="{274FC6CA-9F18-4949-8F3B-4956D6F09948}"/>
    <cellStyle name="Hyperlink 3" xfId="4" xr:uid="{9BEAC274-6319-4FBF-BADD-E03EFEBA7264}"/>
    <cellStyle name="Normal" xfId="0" builtinId="0"/>
    <cellStyle name="Normal 2 8" xfId="7" xr:uid="{547037C6-EF72-45C2-BB53-F20C6E94C57A}"/>
    <cellStyle name="Normal 2 9" xfId="2" xr:uid="{6A5E8185-20A8-4A6A-A32C-ED67AF25A361}"/>
    <cellStyle name="Percent" xfId="8" builtinId="5"/>
  </cellStyles>
  <dxfs count="216">
    <dxf>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border outline="0">
        <bottom style="thin">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b val="0"/>
        <i val="0"/>
        <strike val="0"/>
        <condense val="0"/>
        <extend val="0"/>
        <outline val="0"/>
        <shadow val="0"/>
        <u val="none"/>
        <vertAlign val="baseline"/>
        <sz val="12"/>
        <color theme="1"/>
        <name val="Arial"/>
        <family val="2"/>
        <scheme val="none"/>
      </font>
      <border diagonalUp="0" diagonalDown="0" outline="0">
        <left/>
        <right style="thin">
          <color indexed="64"/>
        </right>
      </border>
    </dxf>
    <dxf>
      <font>
        <b val="0"/>
        <i val="0"/>
        <strike val="0"/>
        <condense val="0"/>
        <extend val="0"/>
        <outline val="0"/>
        <shadow val="0"/>
        <u val="none"/>
        <vertAlign val="baseline"/>
        <sz val="12"/>
        <color theme="1"/>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font>
        <strike val="0"/>
        <outline val="0"/>
        <shadow val="0"/>
        <u val="none"/>
        <sz val="12"/>
        <name val="Arial"/>
        <family val="2"/>
        <scheme val="none"/>
      </font>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bottom" textRotation="0" wrapText="0" indent="0" justifyLastLine="0" shrinkToFit="0" readingOrder="0"/>
      <border diagonalUp="0" diagonalDown="0">
        <left/>
        <right style="thin">
          <color indexed="64"/>
        </right>
        <vertical/>
      </border>
    </dxf>
    <dxf>
      <font>
        <b val="0"/>
        <i val="0"/>
        <strike val="0"/>
        <condense val="0"/>
        <extend val="0"/>
        <outline val="0"/>
        <shadow val="0"/>
        <u val="none"/>
        <vertAlign val="baseline"/>
        <sz val="8"/>
        <color theme="1"/>
        <name val="Arial"/>
        <family val="2"/>
        <scheme val="none"/>
      </font>
      <alignment horizontal="right" vertical="bottom"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1" formatCode="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164" formatCode="0.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3" formatCode="#,##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rgb="FF000000"/>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Arial"/>
        <family val="2"/>
        <scheme val="none"/>
      </font>
      <alignment horizontal="left" vertical="bottom" textRotation="0" wrapText="1"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right" vertical="bottom" textRotation="0" wrapText="1" indent="0" justifyLastLine="0" shrinkToFit="0" readingOrder="0"/>
    </dxf>
    <dxf>
      <border>
        <bottom style="medium">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s>
  <tableStyles count="0" defaultTableStyle="TableStyleMedium2" defaultPivotStyle="PivotStyleLight16"/>
  <colors>
    <mruColors>
      <color rgb="FF0FE1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8131EA-2B0A-4833-A32C-9103F14D7639}" name="Table1a" displayName="Table1a" ref="A4:Z10" totalsRowShown="0" headerRowDxfId="215" headerRowBorderDxfId="214">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6EE4ADD3-98D1-4151-B9FE-C3B352CBDC51}" name="ICHA codes [note 4]" dataDxfId="213"/>
    <tableColumn id="2" xr3:uid="{584DA31E-BA02-4D2E-B68D-3E8E563B87CC}" name="Financing Scheme" dataDxfId="212"/>
    <tableColumn id="3" xr3:uid="{5622D8E7-F074-485F-B49D-FC7B27C4D4FC}" name="1997" dataDxfId="211"/>
    <tableColumn id="4" xr3:uid="{7365B5F5-7DF0-4D2E-93B7-D6FF58516D1D}" name="1998"/>
    <tableColumn id="5" xr3:uid="{67104A62-FEE7-4B85-86F1-ACF72B9A386A}" name="1999"/>
    <tableColumn id="6" xr3:uid="{3503CF89-07EB-4B52-A17F-BC606A82FD57}" name="2000"/>
    <tableColumn id="7" xr3:uid="{9D44507F-F1DB-4F95-A952-93A265ED89EF}" name="2001"/>
    <tableColumn id="8" xr3:uid="{B5E43563-EF60-4951-A258-5F5AD921CC73}" name="2002"/>
    <tableColumn id="9" xr3:uid="{F7A5EC33-E9EB-44E1-8C14-D95B41BC4389}" name="2003"/>
    <tableColumn id="10" xr3:uid="{0332128D-F99E-4FEB-AB9D-5C8677B2BF1D}" name="2004"/>
    <tableColumn id="11" xr3:uid="{D4F056A1-652E-40A7-954B-C9171713C88F}" name="2005"/>
    <tableColumn id="12" xr3:uid="{55D5EE3A-530D-4FA0-B43B-A3D3B85880BE}" name="2006"/>
    <tableColumn id="13" xr3:uid="{81BBD420-3DB7-41EC-8CA0-1C45CB0E81FC}" name="2007"/>
    <tableColumn id="14" xr3:uid="{F625239D-DD28-4E79-B11F-A17C4E581ABD}" name="2008"/>
    <tableColumn id="15" xr3:uid="{4C4F8C97-D4AD-4D10-ACA6-41A48D2BCC90}" name="2009"/>
    <tableColumn id="16" xr3:uid="{DC39296A-E937-45D6-9109-A9D226384735}" name="2010"/>
    <tableColumn id="17" xr3:uid="{057E1627-68F1-4A45-8EED-85FC50C5E791}" name="2011"/>
    <tableColumn id="18" xr3:uid="{8390C854-65FD-4098-BD57-57E744A580D0}" name="2012"/>
    <tableColumn id="19" xr3:uid="{33004E39-B821-440A-99DA-F84A52BE6057}" name="2013"/>
    <tableColumn id="20" xr3:uid="{7499A19D-3771-4A07-9168-49A329714B5A}" name="2014"/>
    <tableColumn id="21" xr3:uid="{8077CBB6-5641-4F19-9428-C23BDB151BC3}" name="2015"/>
    <tableColumn id="22" xr3:uid="{066CA9D0-A020-4BB2-A363-FD15BAC7523D}" name="2016"/>
    <tableColumn id="23" xr3:uid="{38F012DF-EFC3-4ABB-BC7E-01398A26692E}" name="2017"/>
    <tableColumn id="24" xr3:uid="{0151072D-BFA4-4EE2-9D18-97D5637CE99E}" name="2018"/>
    <tableColumn id="25" xr3:uid="{A9BCB9E8-3E8A-49C0-A418-BBE176E2FFA4}" name="2019"/>
    <tableColumn id="26" xr3:uid="{6A08BF76-0585-4572-9FAE-E00046F92BA9}" name="2020"/>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2272474-9C9E-40C5-9860-8B92EB713DAB}" name="Table3b" displayName="Table3b" ref="A4:S41" totalsRowShown="0" headerRowDxfId="104">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AC234C14-1C9B-41D4-9977-F988B170C0BB}" name="IHCA codes [note 6]" dataDxfId="103"/>
    <tableColumn id="2" xr3:uid="{CE780BF5-40F9-48C8-A869-44A01BBBEEC7}" name="Healthcare Function" dataDxfId="102"/>
    <tableColumn id="4" xr3:uid="{1F304227-592B-41E4-A5B4-D6B2D3E8E549}" name="HP.TOT"/>
    <tableColumn id="5" xr3:uid="{C6572E4C-BE4D-4241-B389-60713F39F443}" name="HP.1"/>
    <tableColumn id="6" xr3:uid="{DEB0D6D2-6FBB-4FFF-9BFC-9177AAEEA40A}" name="HP.2"/>
    <tableColumn id="7" xr3:uid="{6A9BA769-48BD-4021-8F72-779A1C9CE2A1}" name="HP.3"/>
    <tableColumn id="8" xr3:uid="{CE56C98B-746A-4832-B21F-87066F148C42}" name="HP.3.1"/>
    <tableColumn id="9" xr3:uid="{BC1DC008-4055-4B64-AB0E-492CA6791A14}" name="HP.3.2"/>
    <tableColumn id="10" xr3:uid="{0489B5CA-9D8D-4D36-BCFC-46DB96C9D37B}" name="HP.3.5"/>
    <tableColumn id="11" xr3:uid="{B879B521-D3EF-432D-9253-D1E66FE5ED36}" name="HP.3.x"/>
    <tableColumn id="12" xr3:uid="{76830610-E0B5-426A-9479-A3D5134BDA96}" name="HP.4"/>
    <tableColumn id="13" xr3:uid="{EF13F6B6-EDCB-48A2-8E0F-04714613813A}" name="HP.5"/>
    <tableColumn id="14" xr3:uid="{D3DDF46C-7B66-414B-8A24-ACF33BA04499}" name="HP.6"/>
    <tableColumn id="15" xr3:uid="{A8B1AE5B-A454-4226-B387-F9132B29C812}" name="HP.7"/>
    <tableColumn id="16" xr3:uid="{83410780-1E5A-42BB-8307-0000B3C75409}" name="HP.8"/>
    <tableColumn id="17" xr3:uid="{02112C15-7BF4-4EF0-A3FC-81C2B1FB8E79}" name="HP.8.1"/>
    <tableColumn id="18" xr3:uid="{93BA10E6-6863-4550-B410-871BFD3D7923}" name="HP.8.2"/>
    <tableColumn id="19" xr3:uid="{CD9E7398-BDF5-45CC-89D5-4058CAA7FECB}" name="HP.9"/>
    <tableColumn id="20" xr3:uid="{BC4BCBF8-DF4A-432F-847D-C5E7A018FC06}" name="HP.0"/>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9F37A49-DFC9-49F8-88A9-378A1715F638}" name="Table3c" displayName="Table3c" ref="A4:S41" totalsRowShown="0" headerRowDxfId="101">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E4F0E2BF-DF7D-4677-AA62-50FB652FCF67}" name="IHCA codes [note 6]" dataDxfId="100"/>
    <tableColumn id="2" xr3:uid="{A0B730EC-2455-4A69-9437-BE9245D6FE53}" name="Healthcare Function" dataDxfId="99"/>
    <tableColumn id="4" xr3:uid="{D340DC54-0AA3-4104-8AC4-B28C3D023E3B}" name="HP.TOT"/>
    <tableColumn id="5" xr3:uid="{41D0431A-B627-47B7-B2F0-275859127EC3}" name="HP.1"/>
    <tableColumn id="6" xr3:uid="{5A4582C0-FF2A-4394-B5A5-4C5614A3813F}" name="HP.2"/>
    <tableColumn id="7" xr3:uid="{D0D882AF-12F1-4093-AFCC-7449094319F6}" name="HP.3"/>
    <tableColumn id="8" xr3:uid="{D1FF3E3C-8846-489F-AC17-F66FEE6FC59C}" name="HP.3.1"/>
    <tableColumn id="9" xr3:uid="{45FDEA81-8BA3-4167-8016-BCAD01903B32}" name="HP.3.2"/>
    <tableColumn id="10" xr3:uid="{91411562-2CA7-4887-AB78-8A5B12791530}" name="HP.3.5"/>
    <tableColumn id="11" xr3:uid="{3236E076-CDAF-435F-85A4-1C604C8E9968}" name="HP.3.x"/>
    <tableColumn id="12" xr3:uid="{C7FE6DC9-4770-4978-A229-0A0F6B89E85C}" name="HP.4"/>
    <tableColumn id="13" xr3:uid="{FBA757F5-D5C2-4617-ACEE-18E67BE06511}" name="HP.5"/>
    <tableColumn id="14" xr3:uid="{74311689-EC02-47B6-A9C0-CD12AA253B20}" name="HP.6"/>
    <tableColumn id="15" xr3:uid="{D6CEC2AA-A807-4BE9-8CD0-12772BF5341C}" name="HP.7"/>
    <tableColumn id="16" xr3:uid="{D5C9FBB8-633A-4C02-8F96-E50D0D9CFF0A}" name="HP.8"/>
    <tableColumn id="17" xr3:uid="{3F91BB4C-8F30-4719-A103-7F42578A808A}" name="HP.8.1"/>
    <tableColumn id="18" xr3:uid="{A88D2D7E-88A8-4674-B629-3D499FF7CBDF}" name="HP.8.2"/>
    <tableColumn id="19" xr3:uid="{1C49CD74-B4B7-41F2-9AD5-DE02A8E171BB}" name="HP.9"/>
    <tableColumn id="20" xr3:uid="{F391C305-4EF9-4B25-966D-E5D6A709054F}" name="HP.0"/>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33A7B38-E83C-4391-8DF3-DC3BDA5664F9}" name="Table3d" displayName="Table3d" ref="A4:S41" totalsRowShown="0" headerRowDxfId="98">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855E22D-52E8-4F56-8120-DD203CFDE110}" name="IHCA codes [note 6]" dataDxfId="97"/>
    <tableColumn id="2" xr3:uid="{74DE1182-2BC6-4505-BEE0-04F73AF8B550}" name="Healthcare Function" dataDxfId="96"/>
    <tableColumn id="4" xr3:uid="{E1098314-9C72-48AD-A6F1-3B65600BC862}" name="HP.TOT"/>
    <tableColumn id="5" xr3:uid="{A03E268F-6D22-4250-A139-BFF0F8F50957}" name="HP.1"/>
    <tableColumn id="6" xr3:uid="{1291D105-4549-41AA-B9FD-90C64EAEDBB2}" name="HP.2"/>
    <tableColumn id="7" xr3:uid="{6F267AD7-ABB8-496F-9DAE-F5659D74E586}" name="HP.3"/>
    <tableColumn id="8" xr3:uid="{B2F49731-5A52-47FE-BA3C-F8F118411FA6}" name="HP.3.1"/>
    <tableColumn id="9" xr3:uid="{DA78CD92-B34B-4525-9FEA-A67DE1D5D3B0}" name="HP.3.2"/>
    <tableColumn id="10" xr3:uid="{A487A16E-4E25-4CC0-89F8-77854AD8EA65}" name="HP.3.5"/>
    <tableColumn id="11" xr3:uid="{19C5FC52-6CE1-4965-A827-10937A1F8499}" name="HP.3.x"/>
    <tableColumn id="12" xr3:uid="{E9180564-652D-48B8-8B8E-E113BC628C0C}" name="HP.4"/>
    <tableColumn id="13" xr3:uid="{7894696A-E575-42CB-9633-758F46E77924}" name="HP.5"/>
    <tableColumn id="14" xr3:uid="{D4DFA5F1-68E2-4F89-B6A0-ECC1316B2A05}" name="HP.6"/>
    <tableColumn id="15" xr3:uid="{358F4932-2EFF-47F8-AA34-57CF43056436}" name="HP.7"/>
    <tableColumn id="16" xr3:uid="{440F592E-3DEC-4F76-9BDD-C5BCA2A48D2A}" name="HP.8"/>
    <tableColumn id="17" xr3:uid="{68284F17-055D-4878-9372-2CC7500D3A1B}" name="HP.8.1"/>
    <tableColumn id="18" xr3:uid="{62780F7C-1705-4A63-AEE3-3BAC17CCDA8C}" name="HP.8.2"/>
    <tableColumn id="19" xr3:uid="{1D7A44E1-DC4D-4229-94F6-A97772678498}" name="HP.9"/>
    <tableColumn id="20" xr3:uid="{DF5D8294-B059-4BE6-9686-BECC4F5F0539}" name="HP.0"/>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BB5FBD1-85F9-49AF-A4C1-AFBFDEC7DC78}" name="Table3e" displayName="Table3e" ref="A4:S41" totalsRowShown="0" headerRowDxfId="95">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6C4AFD3B-A576-48F6-8F03-F9F902EA048E}" name="IHCA codes [note 6]" dataDxfId="94"/>
    <tableColumn id="2" xr3:uid="{F72296FB-241E-473B-808A-1F38C39BEDDC}" name="Healthcare Function" dataDxfId="93"/>
    <tableColumn id="4" xr3:uid="{4A148182-60EA-406C-9392-884E25B2612C}" name="HP.TOT"/>
    <tableColumn id="5" xr3:uid="{E89EC738-8954-4ED9-ADF5-769E2CFF9B7C}" name="HP.1"/>
    <tableColumn id="6" xr3:uid="{67C4BF71-B20A-486B-BFB7-3A486DD6D1BF}" name="HP.2"/>
    <tableColumn id="7" xr3:uid="{080195C9-C791-436B-992F-0628D0313B14}" name="HP.3"/>
    <tableColumn id="8" xr3:uid="{02EB70EA-A20C-4B86-8417-AD5ACAFB8FED}" name="HP.3.1"/>
    <tableColumn id="9" xr3:uid="{CDCE3D7F-DD25-42D1-A570-AA8F3CD1C6B1}" name="HP.3.2"/>
    <tableColumn id="10" xr3:uid="{3C829BA5-DBDB-41D5-BAAE-511A349220C8}" name="HP.3.5"/>
    <tableColumn id="11" xr3:uid="{3DFFA7DD-180D-4A17-A694-A34414530D22}" name="HP.3.x"/>
    <tableColumn id="12" xr3:uid="{E5EC3084-FBE0-49B0-8DD2-6614370849DE}" name="HP.4"/>
    <tableColumn id="13" xr3:uid="{1224F527-4AB3-400C-A3CA-1E562C8DC4CF}" name="HP.5"/>
    <tableColumn id="14" xr3:uid="{CC35782C-9860-4C73-9ED8-46B6F265D00E}" name="HP.6"/>
    <tableColumn id="15" xr3:uid="{120C2AAB-126A-451A-829A-DC1132E31E7B}" name="HP.7"/>
    <tableColumn id="16" xr3:uid="{4B882130-8114-4A34-BF99-0CD213FBB890}" name="HP.8"/>
    <tableColumn id="17" xr3:uid="{188E0BE7-BED9-45F7-975A-8364EC398E67}" name="HP.8.1"/>
    <tableColumn id="18" xr3:uid="{3E5A83F2-1F2E-405A-AEA0-DB7ABF67C794}" name="HP.8.2"/>
    <tableColumn id="19" xr3:uid="{CFFD5F58-DCB0-46F3-8A1D-409FEB4B34DC}" name="HP.9"/>
    <tableColumn id="20" xr3:uid="{CFB303AC-ECEC-4DA3-A535-D6E70BE75E3D}" name="HP.0"/>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39E45A8B-FA1B-4450-94E6-355B41C08ABE}" name="Table3f" displayName="Table3f" ref="A4:S41" totalsRowShown="0" headerRowDxfId="92">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2392AA7A-E86D-42D7-98A0-1107278351F4}" name="IHCA codes [note 6]" dataDxfId="91"/>
    <tableColumn id="2" xr3:uid="{2704490D-D919-402E-BDE3-5916B8CFF0B2}" name="Healthcare Function" dataDxfId="90"/>
    <tableColumn id="4" xr3:uid="{15F79F0A-91B8-4C43-BBF0-349E761B5F1D}" name="HP.TOT"/>
    <tableColumn id="5" xr3:uid="{D69CEA53-9C84-41B5-98DF-FBC862395546}" name="HP.1"/>
    <tableColumn id="6" xr3:uid="{460B5C8D-6AFC-4E58-AEB0-D0B0C434C46A}" name="HP.2"/>
    <tableColumn id="7" xr3:uid="{81B01DEE-3C84-4DD6-973A-8AE4C1865341}" name="HP.3"/>
    <tableColumn id="8" xr3:uid="{C4FF75C2-8E29-4441-9F16-88296D28B69A}" name="HP.3.1"/>
    <tableColumn id="9" xr3:uid="{0696C14E-4420-412C-BB2E-02A9B428BEAA}" name="HP.3.2"/>
    <tableColumn id="10" xr3:uid="{D6818D21-EAEC-4FF8-AFC0-87D669F4573C}" name="HP.3.5"/>
    <tableColumn id="11" xr3:uid="{3759855B-F6DD-4AA4-B6C2-EF6953FD3ADC}" name="HP.3.x"/>
    <tableColumn id="12" xr3:uid="{C2D8D04C-0006-4786-A98E-5C538A20C24F}" name="HP.4"/>
    <tableColumn id="13" xr3:uid="{D544B143-C24C-4111-9D43-B5A6C8394FB7}" name="HP.5"/>
    <tableColumn id="14" xr3:uid="{423CC270-7E86-46DC-AD2D-5D2A193CD8D1}" name="HP.6"/>
    <tableColumn id="15" xr3:uid="{5571C10A-C7D9-4948-8D03-96B2C1C52ED0}" name="HP.7"/>
    <tableColumn id="16" xr3:uid="{1AB0239C-F4E2-4DBD-AE65-95B3A723A837}" name="HP.8"/>
    <tableColumn id="17" xr3:uid="{7F09070D-3ABF-40EE-8C2F-452BF04742B7}" name="HP.8.1"/>
    <tableColumn id="18" xr3:uid="{8E3F5FE3-281F-4F20-97A7-FE4964E04A1D}" name="HP.8.2"/>
    <tableColumn id="19" xr3:uid="{CA31D86A-727F-4359-994A-254335884722}" name="HP.9"/>
    <tableColumn id="20" xr3:uid="{30A58D20-ADB8-438B-86DC-A6106A8FD77F}" name="HP.0"/>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D2A9BDF2-3675-455E-8E51-69AF9BCE7545}" name="Table37" displayName="Table37" ref="A4:L22" totalsRowShown="0" headerRowDxfId="89" dataDxfId="87" headerRowBorderDxfId="88">
  <autoFilter ref="A4:L22" xr:uid="{191B66F7-11E5-46C6-81B1-F855F17EF3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423DA34-340D-453B-814A-67C50AF58CAA}" name="ICHA [note 5]" dataDxfId="86"/>
    <tableColumn id="2" xr3:uid="{537BCBDB-CC61-46BF-86F4-B48FC56E401C}" name="Function" dataDxfId="85"/>
    <tableColumn id="3" xr3:uid="{9467EC89-FF1D-45E2-BC7F-06FDD4CFA423}" name="ICHA" dataDxfId="84"/>
    <tableColumn id="4" xr3:uid="{0B3C7164-8DAA-441C-B091-88AB314C8264}" name="Financing scheme" dataDxfId="83"/>
    <tableColumn id="5" xr3:uid="{DFF43CA8-E981-4876-A702-F3F987A11AF8}" name="2013" dataDxfId="82"/>
    <tableColumn id="6" xr3:uid="{E9F16738-3099-4AE3-82E2-14CE615C0B75}" name="2014" dataDxfId="81"/>
    <tableColumn id="7" xr3:uid="{53A08362-3F42-45A3-93CA-9C000B541126}" name="2015" dataDxfId="80"/>
    <tableColumn id="8" xr3:uid="{D9D3FC14-07D6-4186-9756-3495C19F5331}" name="2016" dataDxfId="79"/>
    <tableColumn id="9" xr3:uid="{88530B6A-C06F-4D8E-9E32-E1C41CEC4CD3}" name="2017" dataDxfId="78"/>
    <tableColumn id="10" xr3:uid="{5CA740FD-59DA-46E9-9D7C-7A21967E0C56}" name="2018" dataDxfId="77"/>
    <tableColumn id="12" xr3:uid="{A5744387-7777-4D10-BF37-049C358F2D7B}" name="2019" dataDxfId="76"/>
    <tableColumn id="11" xr3:uid="{E4F11B94-CCAE-4C5C-A4B3-A85FAF4A998E}" name="2020" dataDxfId="75"/>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8C6D171-DCEF-4E66-B34D-4410C0B8B928}" name="Table3739" displayName="Table3739" ref="A4:L22" totalsRowShown="0" headerRowDxfId="74" dataDxfId="72" headerRowBorderDxfId="73">
  <autoFilter ref="A4:L22" xr:uid="{191B66F7-11E5-46C6-81B1-F855F17EF30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8F16AB4E-ACDD-47DB-AB29-1DAED20EACDD}" name="ICHA [note 5]" dataDxfId="71"/>
    <tableColumn id="2" xr3:uid="{2B43A145-0BBE-4B97-B2CF-45464CEF34D4}" name="Function" dataDxfId="70"/>
    <tableColumn id="3" xr3:uid="{626643FB-AB7A-4963-B611-E4F5D6711EB0}" name="ICHA" dataDxfId="69"/>
    <tableColumn id="4" xr3:uid="{FC1399AE-75F4-447F-AD22-3A23F57E3BA7}" name="Financing scheme" dataDxfId="68"/>
    <tableColumn id="5" xr3:uid="{5FB6F97A-6665-4083-893F-4AD61EA96039}" name="2013" dataDxfId="67"/>
    <tableColumn id="6" xr3:uid="{C8CE4663-D273-44E7-8A2B-976A5B312946}" name="2014" dataDxfId="66"/>
    <tableColumn id="7" xr3:uid="{1EA08255-7C47-4E04-890C-F34D555F0007}" name="2015" dataDxfId="65"/>
    <tableColumn id="8" xr3:uid="{E792CFC1-3A1C-4E6C-9C23-447369D2972B}" name="2016" dataDxfId="64"/>
    <tableColumn id="9" xr3:uid="{277810BA-DB95-4603-AE59-2630E4DBA482}" name="2017" dataDxfId="63"/>
    <tableColumn id="10" xr3:uid="{D63BEC59-F232-4440-AE5A-663FC252FA0E}" name="2018" dataDxfId="62"/>
    <tableColumn id="12" xr3:uid="{6B24EE02-E411-459C-93C1-2F83B6161508}" name="2019" dataDxfId="61"/>
    <tableColumn id="11" xr3:uid="{3746335A-4085-4BEA-81BA-9AA01B8ED82C}" name="2020" dataDxfId="60"/>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38BE1C97-1A02-43AA-8630-B06D88C1EBDA}" name="Table6" displayName="Table6" ref="A4:Z14" totalsRowShown="0" headerRowDxfId="59" headerRowBorderDxfId="58">
  <autoFilter ref="A4:Z14"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873FA9BA-5130-43A6-9950-0951C1C2F026}" name="ICHA codes [note 4]" dataDxfId="57"/>
    <tableColumn id="2" xr3:uid="{D68596EA-5EC9-4164-B0AB-57319327B3AC}" name="Financing Scheme" dataDxfId="56"/>
    <tableColumn id="3" xr3:uid="{15FD26F5-08B3-4152-B58E-93098DFD5123}" name="1997" dataDxfId="55"/>
    <tableColumn id="4" xr3:uid="{FE6BEEE8-21B9-404B-BB4E-F7716749377F}" name="1998"/>
    <tableColumn id="5" xr3:uid="{D7C97CD6-426B-4789-89E6-EBAFAFA7D616}" name="1999"/>
    <tableColumn id="6" xr3:uid="{F7927AAD-ECB4-43C6-8B45-6D8D434DA50E}" name="2000"/>
    <tableColumn id="7" xr3:uid="{90444DEE-2D85-41C7-83DA-5972F2D7DE65}" name="2001"/>
    <tableColumn id="8" xr3:uid="{6BDF8830-33B9-403B-9E0C-761D55993D59}" name="2002"/>
    <tableColumn id="9" xr3:uid="{D020BAAC-4939-4391-9683-35A7F9CF241F}" name="2003"/>
    <tableColumn id="10" xr3:uid="{A00F6139-D8EF-4B42-B455-9B0E7F32701B}" name="2004"/>
    <tableColumn id="11" xr3:uid="{F04FF244-69A8-4D3F-BA03-306A20D99622}" name="2005"/>
    <tableColumn id="12" xr3:uid="{FBF05025-C72D-4275-A627-184F4E81B616}" name="2006"/>
    <tableColumn id="13" xr3:uid="{6304348C-89FA-4212-84A4-878D21B47F32}" name="2007"/>
    <tableColumn id="14" xr3:uid="{D8394802-AEAD-492E-9F3A-8D2945D418BC}" name="2008"/>
    <tableColumn id="15" xr3:uid="{A3AA2B13-4422-4605-9DBD-052D835518FF}" name="2009"/>
    <tableColumn id="16" xr3:uid="{5C0FD0E7-9F60-4DDF-BE55-F096ABCF46F8}" name="2010"/>
    <tableColumn id="17" xr3:uid="{B51FE93A-10D5-43E7-8041-ACB0933AC893}" name="2011"/>
    <tableColumn id="18" xr3:uid="{6366678C-464C-4E55-B6CB-5C73AB1364DC}" name="2012"/>
    <tableColumn id="19" xr3:uid="{BCF301F6-EE9A-49FB-9DA5-21D4C0BE87B3}" name="2013"/>
    <tableColumn id="20" xr3:uid="{D4EBEF8D-0170-4CE3-A91F-AAEF6C3198B1}" name="2014"/>
    <tableColumn id="21" xr3:uid="{C4A3C756-E0DC-40A0-9D24-5C16305BA23D}" name="2015"/>
    <tableColumn id="22" xr3:uid="{C4FE7C58-0659-4599-9CAA-052569722C35}" name="2016"/>
    <tableColumn id="23" xr3:uid="{2CB0FFBB-18CA-47B6-A2E0-4ED725DBF999}" name="2017"/>
    <tableColumn id="24" xr3:uid="{C286D921-7385-4035-8D49-FB6B377D3758}" name="2018"/>
    <tableColumn id="25" xr3:uid="{A24C566E-ABE3-4BF5-BB5F-68B3B6D62046}" name="2019"/>
    <tableColumn id="26" xr3:uid="{0DBF85AD-88CA-40EB-A5D0-EBB87FF5C134}" name="2020"/>
  </tableColumns>
  <tableStyleInfo name="TableStyleLight1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6143BED-8940-4F43-8FEC-9B40EEE1E7D4}" name="Table7" displayName="Table7" ref="A4:Z14" totalsRowShown="0" headerRowDxfId="54" headerRowBorderDxfId="53">
  <autoFilter ref="A4:Z14"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53CBCC15-81F4-442B-A75E-2C8A40F6DA3A}" name="ICHA codes [note 4]" dataDxfId="52"/>
    <tableColumn id="2" xr3:uid="{7EAE0ACD-7653-4335-8D5E-0AF6402CA018}" name="Financing Scheme" dataDxfId="51"/>
    <tableColumn id="3" xr3:uid="{01956B75-497D-41C9-93C1-0F006D7890D9}" name="1997" dataDxfId="50"/>
    <tableColumn id="4" xr3:uid="{27C08BFE-598C-442B-94B9-A2E97038F8D0}" name="1998"/>
    <tableColumn id="5" xr3:uid="{4F5A48CF-3B7D-4C37-B1BB-3C5A7B228B06}" name="1999"/>
    <tableColumn id="6" xr3:uid="{7F33BFF9-72F1-4516-9943-88A4475FF2B3}" name="2000"/>
    <tableColumn id="7" xr3:uid="{AB10A220-92D9-4817-AAC5-013E7744E626}" name="2001"/>
    <tableColumn id="8" xr3:uid="{7F51B9F7-7E46-4679-A6EE-92EA6F01AF4F}" name="2002"/>
    <tableColumn id="9" xr3:uid="{B001F23A-AA10-4553-A90E-B6D9030199F2}" name="2003"/>
    <tableColumn id="10" xr3:uid="{1CBBD576-9629-4825-B897-90B83E8E2EEE}" name="2004"/>
    <tableColumn id="11" xr3:uid="{1932BFA0-2E54-43F0-8EAD-2AB3B53D1B52}" name="2005"/>
    <tableColumn id="12" xr3:uid="{60A1A7C0-44B7-4CDA-B992-0EBAFA91A6CF}" name="2006"/>
    <tableColumn id="13" xr3:uid="{189505BF-9968-4C31-A3D4-8EB5A36A9A95}" name="2007"/>
    <tableColumn id="14" xr3:uid="{602B3983-3F94-4ED1-95EF-8E90669BC1C6}" name="2008"/>
    <tableColumn id="15" xr3:uid="{2A1B0B8E-1280-4028-B66C-F2B0077CE20A}" name="2009"/>
    <tableColumn id="16" xr3:uid="{4C09C3ED-B007-4DEF-815B-CBCBFAB40D33}" name="2010"/>
    <tableColumn id="17" xr3:uid="{B96E18D6-F64E-4B47-A4EE-63BEDEACCC8F}" name="2011"/>
    <tableColumn id="18" xr3:uid="{8DAB6013-902F-48A2-BF2F-66B0C94F169C}" name="2012"/>
    <tableColumn id="19" xr3:uid="{3B4CF36E-1FD6-42F9-A942-582F4C14BB97}" name="2013"/>
    <tableColumn id="20" xr3:uid="{E133C7C2-FAA4-4BEC-809D-EC776B6B9FAE}" name="2014"/>
    <tableColumn id="21" xr3:uid="{3105C237-E69D-4435-8E47-326A17C3F4A7}" name="2015"/>
    <tableColumn id="22" xr3:uid="{DF892C4E-2B3C-48E4-88F4-0242C1AD7BF1}" name="2016"/>
    <tableColumn id="23" xr3:uid="{34560CC4-7A26-4407-AE11-2170F3E7086F}" name="2017"/>
    <tableColumn id="24" xr3:uid="{4541238F-AB6F-451C-B7F6-574467CFAF99}" name="2018"/>
    <tableColumn id="25" xr3:uid="{D2F99122-89A4-4F59-8FD0-1FC55D0493E5}" name="2019"/>
    <tableColumn id="26" xr3:uid="{FAB82A5F-1F0E-4B4A-8723-60A8F51BCE59}" name="2020"/>
  </tableColumns>
  <tableStyleInfo name="TableStyleLight1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AD521E-4D8C-4551-A72B-1FA26DCBD7F8}" name="Table8" displayName="Table8" ref="A4:L11" totalsRowShown="0" headerRowDxfId="49" dataDxfId="48">
  <autoFilter ref="A4:L11" xr:uid="{213960D5-2681-480F-BF1C-1050C53A10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A8A2905-11CD-4619-9E5A-8EE0256CFBCF}" name="ICHA codes [note 5]" dataDxfId="47"/>
    <tableColumn id="2" xr3:uid="{88A11E1E-E4E2-4074-9855-4C0F71D00310}" name="Financing Scheme" dataDxfId="46"/>
    <tableColumn id="3" xr3:uid="{6AA90083-116D-4CEA-B6D2-379158F64371}" name="FS.TOT" dataDxfId="45"/>
    <tableColumn id="4" xr3:uid="{E81A5556-517B-4F31-A5FB-1B8C3DE326BE}" name="FS.1" dataDxfId="44"/>
    <tableColumn id="5" xr3:uid="{E4924930-3445-4D9A-800C-04D11F70C7BD}" name="FS.1.1" dataDxfId="43"/>
    <tableColumn id="6" xr3:uid="{80FC669A-AC71-47C9-9B41-5E487A22ABF7}" name="FS.1.4" dataDxfId="42"/>
    <tableColumn id="7" xr3:uid="{59B197C9-E78D-4184-AAB1-477DD6E21A27}" name="FS.5" dataDxfId="41"/>
    <tableColumn id="8" xr3:uid="{428B6C0E-E7A6-4A74-9D53-D9CCCC221143}" name="FS.6" dataDxfId="40"/>
    <tableColumn id="9" xr3:uid="{CD3B61BF-ADD5-4F46-81C6-679700573114}" name="FS.6.1" dataDxfId="39"/>
    <tableColumn id="10" xr3:uid="{3A499A03-873B-40E0-91F7-70BDF417ADD6}" name="FS.6.2" dataDxfId="38"/>
    <tableColumn id="11" xr3:uid="{4DCAF6D1-646E-42B7-8CDA-8548DD2E1133}" name="FS.6.3" dataDxfId="37"/>
    <tableColumn id="12" xr3:uid="{20887615-0ACE-4E90-B98E-F2E06C544195}" name="FS.7" dataDxfId="36"/>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6D8F29-550A-4DFE-9BA6-C1428C57638C}" name="Table1b" displayName="Table1b" ref="A4:Y10" totalsRowShown="0" headerRowDxfId="210" headerRowBorderDxfId="209">
  <autoFilter ref="A4:Y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6CA661E7-504B-4BB4-B5A5-7C9D9495A1E5}" name="ICHA codes [note 4]" dataDxfId="208"/>
    <tableColumn id="2" xr3:uid="{BBBC8427-49AD-4912-886C-533111B70067}" name="Financing Scheme" dataDxfId="207"/>
    <tableColumn id="4" xr3:uid="{2BFCC72E-0803-4531-9088-37C9C485350E}" name="1998" dataDxfId="206">
      <calculatedColumnFormula>Table1a[[#This Row],[1998]]/Table1a[[#This Row],[1997]]-1</calculatedColumnFormula>
    </tableColumn>
    <tableColumn id="5" xr3:uid="{60E1FE9A-761B-47A2-BF80-AF37FD31E341}" name="1999" dataDxfId="205"/>
    <tableColumn id="6" xr3:uid="{8F416091-B89F-43D1-AA60-CCE00DF0E0E9}" name="2000" dataDxfId="204"/>
    <tableColumn id="7" xr3:uid="{F36D8338-6382-490D-ABC8-0A85353CEECA}" name="2001" dataDxfId="203"/>
    <tableColumn id="8" xr3:uid="{CD2A0AE4-8D17-4B5C-8EF5-13AE01E11B15}" name="2002" dataDxfId="202"/>
    <tableColumn id="9" xr3:uid="{BCAF0A6C-6D94-4B8A-8ED0-FC980E79C296}" name="2003" dataDxfId="201"/>
    <tableColumn id="10" xr3:uid="{9EF52AF0-346D-411D-89F4-184252AA4CF3}" name="2004" dataDxfId="200"/>
    <tableColumn id="11" xr3:uid="{F8DAB9B6-4A0A-4972-B476-59A5557CBC88}" name="2005" dataDxfId="199"/>
    <tableColumn id="12" xr3:uid="{C1814951-94CE-4C27-A82A-BACB995FA7DA}" name="2006" dataDxfId="198"/>
    <tableColumn id="13" xr3:uid="{FC655C9F-4649-4F26-8757-785C0D41815B}" name="2007" dataDxfId="197"/>
    <tableColumn id="14" xr3:uid="{1BE82FA3-C7AE-4F77-AFFF-66726FF4BFA3}" name="2008" dataDxfId="196"/>
    <tableColumn id="15" xr3:uid="{19186E80-128A-4488-8DD5-DE512B98DE69}" name="2009" dataDxfId="195"/>
    <tableColumn id="16" xr3:uid="{3FE02100-CBFD-485C-8EFC-972BC1482E2D}" name="2010" dataDxfId="194"/>
    <tableColumn id="17" xr3:uid="{A8044FCD-2070-4ABF-BA43-094937B418CE}" name="2011" dataDxfId="193"/>
    <tableColumn id="18" xr3:uid="{CD778FD4-3552-4F5C-B7B5-66543ED5F390}" name="2012" dataDxfId="192"/>
    <tableColumn id="19" xr3:uid="{0A74347A-7030-4045-ABC4-17FB1E26CEC3}" name="2013" dataDxfId="191"/>
    <tableColumn id="20" xr3:uid="{2F0B907D-F01D-4408-A45E-9E2A5C5C6975}" name="2014" dataDxfId="190"/>
    <tableColumn id="21" xr3:uid="{78471980-B446-4F4D-BBB7-D53FE679E3F2}" name="2015" dataDxfId="189"/>
    <tableColumn id="22" xr3:uid="{9889142D-B701-40BC-85E8-A98F0FE08740}" name="2016" dataDxfId="188"/>
    <tableColumn id="23" xr3:uid="{EAA3EBE5-3AF7-464C-A8B3-92C8CBCECB52}" name="2017" dataDxfId="187"/>
    <tableColumn id="24" xr3:uid="{D199143D-65F9-47E1-8278-EF010E1F0577}" name="2018" dataDxfId="186"/>
    <tableColumn id="25" xr3:uid="{E6DFBB91-7BEA-4222-AB97-DEC23F399282}" name="2019" dataDxfId="185"/>
    <tableColumn id="26" xr3:uid="{BF14018C-E87B-4267-A9A6-4FA1865EF0B8}" name="2020" dataDxfId="184"/>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302400D6-E8A5-4B57-A494-3BF6ACA9A8EF}" name="Table9" displayName="Table9" ref="A4:Z8" totalsRowShown="0" headerRowDxfId="35" headerRowBorderDxfId="34">
  <autoFilter ref="A4:Z8"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F5544C29-3909-40D5-9F65-15FE71E7CB0E}" name="ICHA codes [note 6]" dataDxfId="33"/>
    <tableColumn id="2" xr3:uid="{F1F56E09-FA70-45E3-A43F-9098BCA5A8A1}" name="Financing Scheme" dataDxfId="32"/>
    <tableColumn id="3" xr3:uid="{485C9541-74D7-45DC-AD88-08BBAE0F112B}" name="1997" dataDxfId="31"/>
    <tableColumn id="4" xr3:uid="{29304B5E-33EB-4C2B-863E-7ACEDD2E8D7B}" name="1998"/>
    <tableColumn id="5" xr3:uid="{D9B3F486-B36B-4B59-9A87-949354E5C664}" name="1999"/>
    <tableColumn id="6" xr3:uid="{6769CB54-2186-4229-B2B6-FD9F424B4ACF}" name="2000"/>
    <tableColumn id="7" xr3:uid="{F4568354-737F-4994-AA9C-D0855F951E93}" name="2001"/>
    <tableColumn id="8" xr3:uid="{B51D5B06-71C7-4456-8861-735720519CD0}" name="2002"/>
    <tableColumn id="9" xr3:uid="{9E78C5F8-A1D8-41B3-86C5-0504F4A66974}" name="2003"/>
    <tableColumn id="10" xr3:uid="{6A7FD868-DDA0-4962-A406-771AD518EA5F}" name="2004"/>
    <tableColumn id="11" xr3:uid="{207B1347-867C-43A2-9CFC-477ACC72680D}" name="2005"/>
    <tableColumn id="12" xr3:uid="{A464AB5A-21C1-4194-B765-D64D0693E637}" name="2006"/>
    <tableColumn id="13" xr3:uid="{5C820C0B-8675-46EE-BCE4-E740EE168F89}" name="2007"/>
    <tableColumn id="14" xr3:uid="{8485475A-CB99-4FA1-8F36-3E8370DD4AAF}" name="2008"/>
    <tableColumn id="15" xr3:uid="{BF91577A-CE08-4DB4-9B03-5BF6E9679AFD}" name="2009"/>
    <tableColumn id="16" xr3:uid="{08DF6961-F140-404C-8566-37AD288429C9}" name="2010"/>
    <tableColumn id="17" xr3:uid="{63565727-572F-488C-8A69-2CEC7F3258AF}" name="2011"/>
    <tableColumn id="18" xr3:uid="{5B67C8F8-310A-4470-A17C-A797496FEE8C}" name="2012"/>
    <tableColumn id="19" xr3:uid="{D9E9229F-980A-4160-A0CF-FBB77D5B8DF7}" name="2013"/>
    <tableColumn id="20" xr3:uid="{4EDC6ADD-C79D-4392-8451-4B12F3622C49}" name="2014"/>
    <tableColumn id="21" xr3:uid="{1046638F-6B83-4E1A-B7D4-832D7833FF3E}" name="2015"/>
    <tableColumn id="22" xr3:uid="{011A0B7C-A465-4A11-B01C-698DB7995027}" name="2016"/>
    <tableColumn id="23" xr3:uid="{3FFAD0EE-D45D-4CFC-8578-2E5F67E81DB8}" name="2017"/>
    <tableColumn id="24" xr3:uid="{F2048BF0-EED4-473E-B248-FA12F35F0242}" name="2018"/>
    <tableColumn id="25" xr3:uid="{1E86A8F9-CE09-4571-B405-EA8C8264D7ED}" name="2019"/>
    <tableColumn id="26" xr3:uid="{646BE361-9C6B-4EB1-B638-B0C960AFF2C1}" name="2020"/>
  </tableColumns>
  <tableStyleInfo name="TableStyleLight1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6CFDA044-C7B9-41CF-BFE3-8453623092E2}" name="Table10" displayName="Table10" ref="A4:Z8" totalsRowShown="0" headerRowDxfId="30" headerRowBorderDxfId="29">
  <autoFilter ref="A4:Z8"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814BA2A3-4A9B-4B2E-9095-102232A83DD9}" name="ICHA codes [note 6]" dataDxfId="28"/>
    <tableColumn id="2" xr3:uid="{137EBAB3-2003-4D08-A689-A73D66C8BE29}" name="Financing Scheme" dataDxfId="27"/>
    <tableColumn id="3" xr3:uid="{05500361-2B13-4E1E-9C3F-3DC4A81E2306}" name="1997" dataDxfId="26"/>
    <tableColumn id="4" xr3:uid="{3C4C0C72-EFD1-4B94-BC0F-BE0ED77258A3}" name="1998"/>
    <tableColumn id="5" xr3:uid="{1EC63D32-2509-414C-B181-2E116D7AAF8A}" name="1999"/>
    <tableColumn id="6" xr3:uid="{5395A283-6995-45FC-B159-A07275BE769D}" name="2000"/>
    <tableColumn id="7" xr3:uid="{37296F77-9116-4F3B-B637-96BAA9D8F4E1}" name="2001"/>
    <tableColumn id="8" xr3:uid="{408DAAA9-C0D5-4F55-967C-91004A8FD2AA}" name="2002"/>
    <tableColumn id="9" xr3:uid="{9AE8BDA0-8EA9-48F6-99BC-9FF64EBE66C2}" name="2003"/>
    <tableColumn id="10" xr3:uid="{7C7B4ACC-38F4-4730-8275-A47B4A369316}" name="2004"/>
    <tableColumn id="11" xr3:uid="{9AB2EF36-3AE5-41ED-B4AB-EA1BA9FF612C}" name="2005"/>
    <tableColumn id="12" xr3:uid="{DEE4C149-B338-46F5-B8E7-6F31D6CE706C}" name="2006"/>
    <tableColumn id="13" xr3:uid="{DA3D2435-FFCF-4A80-9F9F-554D94989A47}" name="2007"/>
    <tableColumn id="14" xr3:uid="{2122CC4F-ED8F-47AB-9E98-F0F94A9FF879}" name="2008"/>
    <tableColumn id="15" xr3:uid="{A5CDFCBA-31EE-4F9B-9C77-4536B99BF4D6}" name="2009"/>
    <tableColumn id="16" xr3:uid="{5398FE3C-0BD1-4597-AFFA-B0F83BFB3B93}" name="2010"/>
    <tableColumn id="17" xr3:uid="{3CE332EE-B0E2-4F96-828E-9132B95124A2}" name="2011"/>
    <tableColumn id="18" xr3:uid="{EFA0637E-C6B5-4AD9-8A1B-29AA6F9FE042}" name="2012"/>
    <tableColumn id="19" xr3:uid="{2CAD5B7C-24D4-4978-8B6E-83849D037759}" name="2013"/>
    <tableColumn id="20" xr3:uid="{F1CE927B-0B9A-4F9A-A5CA-729493160033}" name="2014"/>
    <tableColumn id="21" xr3:uid="{8F3F2DA4-AF3C-4A98-8818-D1EA5FBD0746}" name="2015"/>
    <tableColumn id="22" xr3:uid="{740E9613-A4B1-46D1-87C9-CC3331C42C0B}" name="2016"/>
    <tableColumn id="23" xr3:uid="{613E0A90-BD21-4753-85A6-40E02A11561B}" name="2017"/>
    <tableColumn id="24" xr3:uid="{14BE4F72-9797-4C28-A5CC-FEA271C0369E}" name="2018"/>
    <tableColumn id="25" xr3:uid="{347241C2-7C02-4F98-8C0E-078D1F8CC138}" name="2019"/>
    <tableColumn id="26" xr3:uid="{323B2AEA-BB2B-47A9-9223-5095652DB34C}" name="2020"/>
  </tableColumns>
  <tableStyleInfo name="TableStyleLight1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7ED9D70C-7FEA-4069-9F5A-4B9E31D2FEE9}" name="Table1a34" displayName="Table1a34" ref="A4:Y10" totalsRowShown="0" headerRowDxfId="25" headerRowBorderDxfId="24">
  <autoFilter ref="A4:Y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3C94221C-BD63-4EB7-BE9A-F1E032F5E0B3}" name="ICHA codes [note 6]" dataDxfId="23"/>
    <tableColumn id="2" xr3:uid="{4955E3ED-D77C-482B-8512-9137AB818E14}" name="Financing Scheme" dataDxfId="22"/>
    <tableColumn id="3" xr3:uid="{9FBF6463-AEA9-4BF3-A618-09CE54A0C3CE}" name="1997" dataDxfId="21"/>
    <tableColumn id="4" xr3:uid="{44316BD2-3528-460B-B0A2-1BDF139F5A4D}" name="1998"/>
    <tableColumn id="5" xr3:uid="{E806CF4A-F6AA-4D73-B1D9-885FA4911C63}" name="1999"/>
    <tableColumn id="6" xr3:uid="{E5EC7C60-14B5-4D28-9477-1B7B1E0D3ED3}" name="2000"/>
    <tableColumn id="7" xr3:uid="{2D83A9F3-292E-4C45-8124-7C7B9255D8A0}" name="2001"/>
    <tableColumn id="8" xr3:uid="{7AC8A236-1ADD-4EF9-81EA-FCF7530AF47A}" name="2002"/>
    <tableColumn id="9" xr3:uid="{684D6B92-E823-47FF-99FC-09D1F8EFA1A0}" name="2003"/>
    <tableColumn id="10" xr3:uid="{839600FB-EC93-4502-8FA5-4CD46098CF9D}" name="2004"/>
    <tableColumn id="11" xr3:uid="{AF318109-3975-4B07-8FD2-534B86A386E1}" name="2005"/>
    <tableColumn id="12" xr3:uid="{57A9A0A2-051E-4FBB-B907-13C12777E3A2}" name="2006"/>
    <tableColumn id="13" xr3:uid="{662F3314-57E8-4BAC-A041-EE6780E01B68}" name="2007"/>
    <tableColumn id="14" xr3:uid="{96CC7B29-47F7-4466-889B-33C983E58138}" name="2008"/>
    <tableColumn id="15" xr3:uid="{89442602-4A7B-4422-B7BF-4B4D356158AD}" name="2009"/>
    <tableColumn id="16" xr3:uid="{DA201842-A3B3-4FE5-8EBB-1711478767D0}" name="2010"/>
    <tableColumn id="17" xr3:uid="{3D21C126-6318-4685-AFFD-53D6499B8FA7}" name="2011"/>
    <tableColumn id="18" xr3:uid="{E9289895-9C99-47FE-9DF1-3E808475D926}" name="2012"/>
    <tableColumn id="19" xr3:uid="{5D6E7447-888B-43F5-8BFA-95604A952023}" name="2013"/>
    <tableColumn id="20" xr3:uid="{D068D443-D77D-4D62-BA38-772C05F11CF8}" name="2014"/>
    <tableColumn id="21" xr3:uid="{465FCCEE-C0B9-405C-82D2-A269808C619A}" name="2015"/>
    <tableColumn id="22" xr3:uid="{96A2D6A2-FCD8-43BB-BC46-9B24A6F41914}" name="2016"/>
    <tableColumn id="23" xr3:uid="{7587A0AB-DCD8-4E42-A8AC-8BC0925229E3}" name="2017"/>
    <tableColumn id="24" xr3:uid="{4F82B35C-84C7-4342-B438-5D460367372C}" name="2018"/>
    <tableColumn id="25" xr3:uid="{D6EB0B00-DA05-4B9B-A9B0-224E6313ED06}" name="2019"/>
  </tableColumns>
  <tableStyleInfo name="TableStyleLight1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5AA10E8-891E-41C0-847D-0001C02848C7}" name="Table1a3435" displayName="Table1a3435" ref="A4:Y10" totalsRowShown="0" headerRowDxfId="20" headerRowBorderDxfId="19">
  <autoFilter ref="A4:Y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28245E06-452C-4413-AFC4-959D9BB3ACC5}" name="ICHA codes [note 4]" dataDxfId="18"/>
    <tableColumn id="2" xr3:uid="{D85A8397-40B7-427F-B729-4DACAFB3AAB4}" name="Financing Scheme" dataDxfId="17"/>
    <tableColumn id="3" xr3:uid="{ED0CAF81-4D07-4DA2-AA1E-F851D8429436}" name="1997" dataDxfId="16"/>
    <tableColumn id="4" xr3:uid="{D27084EB-3AE3-4904-BEC5-F2FD60A9F96D}" name="1998"/>
    <tableColumn id="5" xr3:uid="{1C2EF56B-9552-495F-AC48-1CFF188BCBD3}" name="1999"/>
    <tableColumn id="6" xr3:uid="{CA252E99-F41D-4F57-BD3B-1564FBB1B146}" name="2000"/>
    <tableColumn id="7" xr3:uid="{63A87A02-D232-477E-A807-EABFF9300A5E}" name="2001"/>
    <tableColumn id="8" xr3:uid="{9EF21226-4FD8-4F60-85CB-DB4430A74803}" name="2002"/>
    <tableColumn id="9" xr3:uid="{5DC6B1A0-E019-49A3-A38A-496961B0BC08}" name="2003"/>
    <tableColumn id="10" xr3:uid="{249A72CD-6C46-45D5-A8F9-E09AC3D338A0}" name="2004"/>
    <tableColumn id="11" xr3:uid="{1D81F7ED-210F-4603-8503-93E105F65566}" name="2005"/>
    <tableColumn id="12" xr3:uid="{619538EF-58FC-4BA7-B114-6FA9C9700589}" name="2006"/>
    <tableColumn id="13" xr3:uid="{0BC6910B-E0CF-4E4F-AEA1-EFAC3590905A}" name="2007"/>
    <tableColumn id="14" xr3:uid="{3FFDD4E0-3F74-474F-85C0-A5D7B869A83F}" name="2008"/>
    <tableColumn id="15" xr3:uid="{307E86D8-F8F4-4EB0-AF65-AB3390D8E45C}" name="2009"/>
    <tableColumn id="16" xr3:uid="{54D3973C-1CD3-4D99-82C5-F8691B4221CB}" name="2010"/>
    <tableColumn id="17" xr3:uid="{C5E4BF4F-F91D-47A6-8381-6E91A6A56DE5}" name="2011"/>
    <tableColumn id="18" xr3:uid="{EE231FCA-D55F-4A8B-A708-6F0787B0B1C2}" name="2012"/>
    <tableColumn id="19" xr3:uid="{D7905FC2-BD69-406B-B142-464825ED7CE4}" name="2013"/>
    <tableColumn id="20" xr3:uid="{364CA95A-D127-47AF-AC51-BF19FB6E9B56}" name="2014"/>
    <tableColumn id="21" xr3:uid="{240D1F15-6013-4CDF-BDF1-0D55034D6F3A}" name="2015"/>
    <tableColumn id="22" xr3:uid="{06D24498-266D-40A3-91DF-4ADDBB7844B9}" name="2016"/>
    <tableColumn id="23" xr3:uid="{782380FD-311F-417D-8D06-3EDB7EB576CA}" name="2017"/>
    <tableColumn id="24" xr3:uid="{DBC7C384-1F55-4C28-BFEE-1DA0478846DE}" name="2018"/>
    <tableColumn id="25" xr3:uid="{B8AED9DF-5AED-4A04-8312-2E6ED92A418D}" name="2019"/>
  </tableColumns>
  <tableStyleInfo name="TableStyleLight1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A6DDBCA4-3F41-4AD2-A255-77E907BFA322}" name="Table12a" displayName="Table12a" ref="A4:G41" totalsRowShown="0" headerRowDxfId="15">
  <autoFilter ref="A4:G41" xr:uid="{D30A9035-FB59-46A5-BA36-19FA1EB455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BFBFB3A3-2139-469D-A404-85EB282D76D5}" name="IHCA codes [note 7]" dataDxfId="14"/>
    <tableColumn id="2" xr3:uid="{21E87765-3896-43F7-A8E7-7CCB4F1B06CF}" name="Healthcare Function" dataDxfId="13"/>
    <tableColumn id="4" xr3:uid="{98E4D867-A796-4A75-B3C8-2DD63F75C813}" name="HF1.1"/>
    <tableColumn id="5" xr3:uid="{5331CD24-68C6-4F7F-A8E9-ACE1AA8EC670}" name="HF2.1"/>
    <tableColumn id="6" xr3:uid="{860BAD99-2605-4862-A180-4CD2CAC75FDC}" name="HF2.2"/>
    <tableColumn id="7" xr3:uid="{7AA41407-AB45-4453-B920-58236B109BBA}" name="HF2.3"/>
    <tableColumn id="20" xr3:uid="{E6D0960F-E88B-4A50-B1A1-88D3422E98C6}" name="HF3"/>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DB30187D-1858-4888-AE71-D01486F877F9}" name="Table3a3637" displayName="Table3a3637" ref="A4:G41" totalsRowShown="0" headerRowDxfId="12">
  <autoFilter ref="A4:G41" xr:uid="{D30A9035-FB59-46A5-BA36-19FA1EB4552C}">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06DEF57-2838-4163-8E7C-787DDC4FD2E5}" name="IHCA codes [note 7]" dataDxfId="11"/>
    <tableColumn id="2" xr3:uid="{0C8937C9-5FD6-4534-9B66-E09092FFAA3A}" name="Healthcare Function" dataDxfId="10"/>
    <tableColumn id="4" xr3:uid="{B8D9C969-109F-4D46-8AA0-4F8A854692E7}" name="HF1.1"/>
    <tableColumn id="5" xr3:uid="{995560DA-E544-4E5B-A108-6CCA19615C64}" name="HF2.1"/>
    <tableColumn id="6" xr3:uid="{357CE7D0-7E44-4183-947E-52120FE49225}" name="HF2.2"/>
    <tableColumn id="7" xr3:uid="{85978B14-0ADD-4084-95E9-D6E6CD6ADFB4}" name="HF2.3"/>
    <tableColumn id="20" xr3:uid="{ED27BBED-285A-48EE-B1E9-1DA269810CFE}" name="HF3"/>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FB54F31-7850-4E7C-9DA3-35709E0D5F96}" name="Table13a" displayName="Table13a" ref="A4:Y8" totalsRowShown="0" headerRowDxfId="9" headerRowBorderDxfId="8">
  <autoFilter ref="A4:Y8"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DDB2FD5E-CE63-46A9-AC0E-86213020AC87}" name="ICHA codes [note 7]" dataDxfId="7"/>
    <tableColumn id="2" xr3:uid="{603BD9D3-435C-4FD0-8B26-41B687EC11ED}" name="Financing Scheme" dataDxfId="6"/>
    <tableColumn id="3" xr3:uid="{8C974520-75F4-46E7-8456-A9958C6991D8}" name="1997" dataDxfId="5">
      <calculatedColumnFormula>Table9[[#This Row],[1997]]-Table13b[[#This Row],[1997]]</calculatedColumnFormula>
    </tableColumn>
    <tableColumn id="4" xr3:uid="{E90CCEBA-C070-4610-A0C6-70CA19BC0E65}" name="1998">
      <calculatedColumnFormula>Table9[[#This Row],[1998]]-Table13b[[#This Row],[1998]]</calculatedColumnFormula>
    </tableColumn>
    <tableColumn id="5" xr3:uid="{B48B564F-A0DC-47C2-B9BF-32FD2E0A5CC5}" name="1999">
      <calculatedColumnFormula>Table9[[#This Row],[1999]]-Table13b[[#This Row],[1999]]</calculatedColumnFormula>
    </tableColumn>
    <tableColumn id="6" xr3:uid="{884B1E90-242F-46B6-ABF8-AF587D5DE344}" name="2000">
      <calculatedColumnFormula>Table9[[#This Row],[2000]]-Table13b[[#This Row],[2000]]</calculatedColumnFormula>
    </tableColumn>
    <tableColumn id="7" xr3:uid="{F8B868FA-857C-412E-A080-6B3374E5AB16}" name="2001">
      <calculatedColumnFormula>Table9[[#This Row],[2001]]-Table13b[[#This Row],[2001]]</calculatedColumnFormula>
    </tableColumn>
    <tableColumn id="8" xr3:uid="{155F0692-C250-4AB0-8B56-0013F14FA3CD}" name="2002">
      <calculatedColumnFormula>Table9[[#This Row],[2002]]-Table13b[[#This Row],[2002]]</calculatedColumnFormula>
    </tableColumn>
    <tableColumn id="9" xr3:uid="{C646E412-43F3-43B3-AF3B-C48182F691F1}" name="2003">
      <calculatedColumnFormula>Table9[[#This Row],[2003]]-Table13b[[#This Row],[2003]]</calculatedColumnFormula>
    </tableColumn>
    <tableColumn id="10" xr3:uid="{14FCD0C3-D23F-4716-802C-652C66A43F8B}" name="2004">
      <calculatedColumnFormula>Table9[[#This Row],[2004]]-Table13b[[#This Row],[2004]]</calculatedColumnFormula>
    </tableColumn>
    <tableColumn id="11" xr3:uid="{3EEE0DDE-BA3B-4819-9BBA-CDBFE9306D1C}" name="2005">
      <calculatedColumnFormula>Table9[[#This Row],[2005]]-Table13b[[#This Row],[2005]]</calculatedColumnFormula>
    </tableColumn>
    <tableColumn id="12" xr3:uid="{B1470903-8249-47E8-9D26-57764E111A5C}" name="2006">
      <calculatedColumnFormula>Table9[[#This Row],[2006]]-Table13b[[#This Row],[2006]]</calculatedColumnFormula>
    </tableColumn>
    <tableColumn id="13" xr3:uid="{2FB25937-47ED-4167-BC11-BA4A1E2CAE44}" name="2007">
      <calculatedColumnFormula>Table9[[#This Row],[2007]]-Table13b[[#This Row],[2007]]</calculatedColumnFormula>
    </tableColumn>
    <tableColumn id="14" xr3:uid="{6C408CD0-9D5D-4B83-A9D4-783DE722DA55}" name="2008">
      <calculatedColumnFormula>Table9[[#This Row],[2008]]-Table13b[[#This Row],[2008]]</calculatedColumnFormula>
    </tableColumn>
    <tableColumn id="15" xr3:uid="{DF910A29-240E-4A4C-BFA3-444B36496F7A}" name="2009">
      <calculatedColumnFormula>Table9[[#This Row],[2009]]-Table13b[[#This Row],[2009]]</calculatedColumnFormula>
    </tableColumn>
    <tableColumn id="16" xr3:uid="{523EBC70-2D4E-4F7A-98FD-486016A5C336}" name="2010">
      <calculatedColumnFormula>Table9[[#This Row],[2010]]-Table13b[[#This Row],[2010]]</calculatedColumnFormula>
    </tableColumn>
    <tableColumn id="17" xr3:uid="{DFB3D5AB-6FB7-4089-853A-EB3371652E9E}" name="2011">
      <calculatedColumnFormula>Table9[[#This Row],[2011]]-Table13b[[#This Row],[2011]]</calculatedColumnFormula>
    </tableColumn>
    <tableColumn id="18" xr3:uid="{A9161A5E-CDE7-482A-AA87-75B00326C237}" name="2012">
      <calculatedColumnFormula>Table9[[#This Row],[2012]]-Table13b[[#This Row],[2012]]</calculatedColumnFormula>
    </tableColumn>
    <tableColumn id="19" xr3:uid="{5967E961-3BCC-45D9-93BD-F55785428B4E}" name="2013">
      <calculatedColumnFormula>Table9[[#This Row],[2013]]-Table13b[[#This Row],[2013]]</calculatedColumnFormula>
    </tableColumn>
    <tableColumn id="20" xr3:uid="{32320763-A27E-4A4B-9A92-77BA03CBB076}" name="2014">
      <calculatedColumnFormula>Table9[[#This Row],[2014]]-Table13b[[#This Row],[2014]]</calculatedColumnFormula>
    </tableColumn>
    <tableColumn id="21" xr3:uid="{30F21331-416E-45E7-872B-5C74E0435AB9}" name="2015">
      <calculatedColumnFormula>Table9[[#This Row],[2015]]-Table13b[[#This Row],[2015]]</calculatedColumnFormula>
    </tableColumn>
    <tableColumn id="22" xr3:uid="{3361BF1C-A8A0-4C37-B9C4-A7A4916F11D3}" name="2016">
      <calculatedColumnFormula>Table9[[#This Row],[2016]]-Table13b[[#This Row],[2016]]</calculatedColumnFormula>
    </tableColumn>
    <tableColumn id="23" xr3:uid="{5AE0B4C7-47F8-4748-8E83-6813B7DBF87D}" name="2017">
      <calculatedColumnFormula>Table9[[#This Row],[2017]]-Table13b[[#This Row],[2017]]</calculatedColumnFormula>
    </tableColumn>
    <tableColumn id="24" xr3:uid="{7D27C28E-7C0E-4FC1-9F14-C9E57AEEAE9A}" name="2018">
      <calculatedColumnFormula>Table9[[#This Row],[2018]]-Table13b[[#This Row],[2018]]</calculatedColumnFormula>
    </tableColumn>
    <tableColumn id="25" xr3:uid="{94D36B0A-8027-4C63-9537-453A05003942}" name="2019">
      <calculatedColumnFormula>Table9[[#This Row],[2019]]-Table13b[[#This Row],[2019]]</calculatedColumnFormula>
    </tableColumn>
  </tableColumns>
  <tableStyleInfo name="TableStyleLight1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FA88AC-91B6-4E5B-B449-FE42E2A21D2B}" name="Table13b" displayName="Table13b" ref="A4:Y8" totalsRowShown="0" headerRowDxfId="4" headerRowBorderDxfId="3">
  <autoFilter ref="A4:Y8"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40A71546-1782-4286-9DD3-A604A2B0EC45}" name="ICHA codes [note 7]" dataDxfId="2"/>
    <tableColumn id="2" xr3:uid="{8EF3D852-98A7-438F-A4CA-69CDB582770E}" name="Financing Scheme" dataDxfId="1"/>
    <tableColumn id="3" xr3:uid="{28B26E8D-8603-4D1D-80EA-8B919AB14A5F}" name="1997" dataDxfId="0"/>
    <tableColumn id="4" xr3:uid="{6CC6F69D-2DE9-4CE1-BA9C-258F2B85B5B3}" name="1998"/>
    <tableColumn id="5" xr3:uid="{D7949995-99D8-48C2-82E3-4362E44C0AEA}" name="1999"/>
    <tableColumn id="6" xr3:uid="{A6E9AA4A-EB6D-4B30-B2DF-F41DDDA3BC9C}" name="2000"/>
    <tableColumn id="7" xr3:uid="{E6AA977B-C482-42FB-9F19-6868F65ED9B3}" name="2001"/>
    <tableColumn id="8" xr3:uid="{8F7C24B9-D320-496E-B8D0-B2EC45DB69BD}" name="2002"/>
    <tableColumn id="9" xr3:uid="{7FCC8342-FFC5-4A2F-84A2-DEC4711CBF30}" name="2003"/>
    <tableColumn id="10" xr3:uid="{AC3E9A2D-5FE9-4FDB-A88A-3DD36EFBD869}" name="2004"/>
    <tableColumn id="11" xr3:uid="{D5499C76-F747-4E97-A333-86482E72462F}" name="2005"/>
    <tableColumn id="12" xr3:uid="{CF2AB40D-53B2-4576-A8AD-AAABD2EE50CC}" name="2006"/>
    <tableColumn id="13" xr3:uid="{C9B4640B-579B-4EE9-8530-D604BDCBBAF3}" name="2007"/>
    <tableColumn id="14" xr3:uid="{5CDA1A92-C6E0-43FF-9DF7-B0A375DB9396}" name="2008"/>
    <tableColumn id="15" xr3:uid="{6A655F28-4BDE-4073-B970-4D35986C65CB}" name="2009"/>
    <tableColumn id="16" xr3:uid="{414872C9-014E-4FCD-B3DD-B53988BE6DF4}" name="2010"/>
    <tableColumn id="17" xr3:uid="{0382583C-1ADC-4BC9-9757-6973B7B7E240}" name="2011"/>
    <tableColumn id="18" xr3:uid="{CBD3B7AD-C442-4308-A780-6A5920BD9A51}" name="2012"/>
    <tableColumn id="19" xr3:uid="{9487EADE-DCEA-4482-964C-35EE36D7A33D}" name="2013"/>
    <tableColumn id="20" xr3:uid="{C108A926-63C6-472D-8348-CA05FD2EB9CB}" name="2014"/>
    <tableColumn id="21" xr3:uid="{6E6599A2-843D-4C9A-B1BA-534F22C480C7}" name="2015"/>
    <tableColumn id="22" xr3:uid="{DA282214-15C0-4764-B3D1-3EBE75D7FB97}" name="2016"/>
    <tableColumn id="23" xr3:uid="{2E274793-F24A-47D8-9CD9-E10F9ABED047}" name="2017"/>
    <tableColumn id="24" xr3:uid="{57F2FE3B-B550-4DB7-8630-91EB5996C296}" name="2018"/>
    <tableColumn id="25" xr3:uid="{0F2D3AEC-C957-4E9C-9D6C-9476E5E4A205}" name="2019"/>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5BB0B8D-9948-4D03-86D9-2D9997940046}" name="Table1c" displayName="Table1c" ref="A4:Z10" totalsRowShown="0" headerRowDxfId="183" headerRowBorderDxfId="182">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302210EB-6C18-4E1B-8F5A-A022A885CFD5}" name="ICHA codes [note 4]" dataDxfId="181"/>
    <tableColumn id="2" xr3:uid="{58DA2FE3-8D95-435C-815E-C6B3A5421CBC}" name="Financing Scheme" dataDxfId="180"/>
    <tableColumn id="3" xr3:uid="{C911BF2E-B7D0-4B09-8A70-1B9F6955A6AE}" name="1997" dataDxfId="179"/>
    <tableColumn id="4" xr3:uid="{6E7BE959-F646-4C2F-B736-E6C628B0BD74}" name="1998" dataDxfId="178"/>
    <tableColumn id="5" xr3:uid="{191B882B-A12E-4BFC-A800-B38E7E85669B}" name="1999" dataDxfId="177"/>
    <tableColumn id="6" xr3:uid="{D4E044D7-EFDE-4DA1-B2B5-327FE7B44DC8}" name="2000" dataDxfId="176"/>
    <tableColumn id="7" xr3:uid="{DC4F8F7D-3118-42BE-AEDD-256BAA0DAB10}" name="2001" dataDxfId="175"/>
    <tableColumn id="8" xr3:uid="{EBDF22E5-10AB-48D0-A47F-0794DB30ADCC}" name="2002" dataDxfId="174"/>
    <tableColumn id="9" xr3:uid="{616C9E93-B457-4BF9-A869-800A4E1B7E8D}" name="2003" dataDxfId="173"/>
    <tableColumn id="10" xr3:uid="{545A7C10-53E5-4FEC-A6E8-EF0ADDF584C1}" name="2004" dataDxfId="172"/>
    <tableColumn id="11" xr3:uid="{2C8C587D-E51E-4FE6-AB13-FF4F97CBC8E5}" name="2005" dataDxfId="171"/>
    <tableColumn id="12" xr3:uid="{0EB0A24E-488C-4DB6-99F2-9A9E85E60343}" name="2006" dataDxfId="170"/>
    <tableColumn id="13" xr3:uid="{F63A454A-95C7-4BA9-B711-D6814B414B09}" name="2007" dataDxfId="169"/>
    <tableColumn id="14" xr3:uid="{CE9ADD8E-6F47-407E-A8A1-463C00141932}" name="2008" dataDxfId="168"/>
    <tableColumn id="15" xr3:uid="{6AE89DA2-3FD3-4E0F-8E89-3AB6C76C378A}" name="2009" dataDxfId="167"/>
    <tableColumn id="16" xr3:uid="{E916ECC5-433E-465C-9456-1A13F2CBFBED}" name="2010" dataDxfId="166"/>
    <tableColumn id="17" xr3:uid="{7400D559-10CE-419B-8AE3-9A073F42B72F}" name="2011" dataDxfId="165"/>
    <tableColumn id="18" xr3:uid="{02483BBF-F216-4DE8-8F30-760223131FFA}" name="2012" dataDxfId="164"/>
    <tableColumn id="19" xr3:uid="{ED3FD3A6-82DA-4BDB-B241-8CCD5C37437A}" name="2013" dataDxfId="163"/>
    <tableColumn id="20" xr3:uid="{23A5CA00-2887-4788-94D5-566F0188D789}" name="2014" dataDxfId="162"/>
    <tableColumn id="21" xr3:uid="{975E9317-BF0F-4847-8F76-B0E92DD6BA1D}" name="2015" dataDxfId="161"/>
    <tableColumn id="22" xr3:uid="{0BDF4C4F-351E-448F-8B41-6DE1D6C9E0A3}" name="2016" dataDxfId="160"/>
    <tableColumn id="23" xr3:uid="{E4BC7AEC-1958-450A-B9F5-ABD32DAC37E8}" name="2017" dataDxfId="159"/>
    <tableColumn id="24" xr3:uid="{4705CC5B-77C0-4B24-B46A-9BFCACB6CA84}" name="2018" dataDxfId="158"/>
    <tableColumn id="25" xr3:uid="{46D3CCAB-D181-4543-8A2B-0FFFDA75CA75}" name="2019" dataDxfId="157"/>
    <tableColumn id="26" xr3:uid="{81EA989B-743B-4AC8-8021-76F0A7012805}" name="2020" dataDxfId="156"/>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720A22-641C-44C3-A977-D585FE635CC2}" name="Table1d" displayName="Table1d" ref="A4:Z10" totalsRowShown="0" headerRowDxfId="155" headerRowBorderDxfId="154">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4CD0EBA8-FE9A-4794-95E9-435192D83BA0}" name="ICHA codes [note 4]" dataDxfId="153"/>
    <tableColumn id="2" xr3:uid="{CED98EFC-57A3-41AB-8D34-3CFA000CC562}" name="Financing Scheme" dataDxfId="152"/>
    <tableColumn id="3" xr3:uid="{DCC50306-3034-4416-9EBC-6BD2CA00484C}" name="1997" dataDxfId="151">
      <calculatedColumnFormula>Table1a[[#This Row],[1997]]/'1a'!C$5</calculatedColumnFormula>
    </tableColumn>
    <tableColumn id="4" xr3:uid="{7280B6DE-D239-4CAA-A0BD-FDFC04D72E1F}" name="1998"/>
    <tableColumn id="5" xr3:uid="{5C77D770-4E6A-4432-BC30-C98921CC4988}" name="1999"/>
    <tableColumn id="6" xr3:uid="{C363A02F-3882-403D-BC6D-BA4B4A7BF0F3}" name="2000"/>
    <tableColumn id="7" xr3:uid="{45633501-268E-4E0E-9403-A12245C99C68}" name="2001"/>
    <tableColumn id="8" xr3:uid="{DC290646-39C3-48A8-BB44-1CE0EC7C639D}" name="2002"/>
    <tableColumn id="9" xr3:uid="{1E902735-3B1F-4C5C-B503-629C8A237E68}" name="2003"/>
    <tableColumn id="10" xr3:uid="{4029EAEA-C176-4D44-BF03-9ACA98279B4E}" name="2004"/>
    <tableColumn id="11" xr3:uid="{BF1437D6-D9A6-458C-96F8-B264A0CA3F40}" name="2005"/>
    <tableColumn id="12" xr3:uid="{44CF80F2-506D-4690-8344-503B95862A53}" name="2006"/>
    <tableColumn id="13" xr3:uid="{76E015F2-CF04-40BD-90A0-38C9DCDEE45C}" name="2007"/>
    <tableColumn id="14" xr3:uid="{B0748BEC-1E23-43F2-BD0F-DCB672FC92C2}" name="2008"/>
    <tableColumn id="15" xr3:uid="{F3ED75A0-1ECC-4CFE-A505-77B7BB9ED7DB}" name="2009"/>
    <tableColumn id="16" xr3:uid="{EAAECDE8-7A69-46CE-8D07-484F160B4390}" name="2010"/>
    <tableColumn id="17" xr3:uid="{05531436-E69B-4670-9577-79BB9F0DFDE6}" name="2011"/>
    <tableColumn id="18" xr3:uid="{9547BFF1-F089-4ADC-9E44-01D8E03D976F}" name="2012"/>
    <tableColumn id="19" xr3:uid="{F7CE4B3A-E098-47ED-AE64-C98E519A519F}" name="2013"/>
    <tableColumn id="20" xr3:uid="{95FA67FD-F027-4341-9F57-1A612202D7FF}" name="2014"/>
    <tableColumn id="21" xr3:uid="{B42A23AC-245B-4370-B1E7-6413B120D3C4}" name="2015"/>
    <tableColumn id="22" xr3:uid="{E046595C-D676-4CBC-B726-AD8BB4923616}" name="2016"/>
    <tableColumn id="23" xr3:uid="{D58872BC-53CF-465C-9470-3091D4866FD8}" name="2017"/>
    <tableColumn id="24" xr3:uid="{3A7B51BC-A845-4BEC-8797-39B1C360C80D}" name="2018"/>
    <tableColumn id="25" xr3:uid="{4E7B3FF6-B491-467C-8B46-507114BDBA2C}" name="2019"/>
    <tableColumn id="26" xr3:uid="{6EEA3591-C3D7-4787-8525-09C7830E95D5}" name="2020"/>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08F104D-A374-453F-AE89-D4002AFBAD26}" name="Table1e" displayName="Table1e" ref="A4:Z10" totalsRowShown="0" headerRowDxfId="150" headerRowBorderDxfId="149">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CE7E22AC-8C97-437F-85DC-8150865BF8A4}" name="ICHA codes [note 4]" dataDxfId="148"/>
    <tableColumn id="2" xr3:uid="{2731ACDC-6A05-493A-A966-24E96AA3411D}" name="Financing Scheme" dataDxfId="147"/>
    <tableColumn id="3" xr3:uid="{C75FC8AB-3751-4310-B13E-BDA0C11B13D7}" name="1997" dataDxfId="146" dataCellStyle="Percent"/>
    <tableColumn id="4" xr3:uid="{8B99E889-BF02-4F1F-87FB-99B7027B6A22}" name="1998" dataDxfId="145"/>
    <tableColumn id="5" xr3:uid="{702FAFD1-7749-4828-9E68-4AF572FA2A55}" name="1999" dataDxfId="144"/>
    <tableColumn id="6" xr3:uid="{2CAE553A-4FEC-4C68-B9BD-E999F5E9E857}" name="2000" dataDxfId="143"/>
    <tableColumn id="7" xr3:uid="{843006F8-BD1F-4C65-BC73-FF7714508098}" name="2001" dataDxfId="142"/>
    <tableColumn id="8" xr3:uid="{88718E36-361D-4182-8818-9CF611DC0A22}" name="2002" dataDxfId="141"/>
    <tableColumn id="9" xr3:uid="{2BF96DDD-A2A7-4698-B21D-5DBC719D340E}" name="2003" dataDxfId="140"/>
    <tableColumn id="10" xr3:uid="{E15BC586-92D3-4775-B7BC-A5D757077B02}" name="2004" dataDxfId="139"/>
    <tableColumn id="11" xr3:uid="{3FC483C6-4117-4EF9-9998-ABBD6AB05DE4}" name="2005" dataDxfId="138"/>
    <tableColumn id="12" xr3:uid="{AFC80F28-958C-40E4-87A8-260E1641BE1C}" name="2006" dataDxfId="137"/>
    <tableColumn id="13" xr3:uid="{4E37654A-ED72-4DAC-8E07-4B08CE9F5757}" name="2007" dataDxfId="136"/>
    <tableColumn id="14" xr3:uid="{94595160-B225-4975-9936-0D302F996C48}" name="2008" dataDxfId="135"/>
    <tableColumn id="15" xr3:uid="{C1868DE1-B74F-439F-9D47-733A1BD92B0B}" name="2009" dataDxfId="134"/>
    <tableColumn id="16" xr3:uid="{C1792DEC-FFF7-48BD-9090-3DDE2E9E9DFA}" name="2010" dataDxfId="133"/>
    <tableColumn id="17" xr3:uid="{D82857DB-2DC5-48A6-A062-5438FA516E8D}" name="2011" dataDxfId="132"/>
    <tableColumn id="18" xr3:uid="{5A2CE383-8B31-4765-AB4C-13B47F4C292C}" name="2012" dataDxfId="131"/>
    <tableColumn id="19" xr3:uid="{D09F6FA5-9EC8-423C-8590-45A89AB9FB14}" name="2013" dataDxfId="130"/>
    <tableColumn id="20" xr3:uid="{9CA0F091-3AFD-4C9C-BC66-16858B7C015D}" name="2014" dataDxfId="129"/>
    <tableColumn id="21" xr3:uid="{AEB5F08D-9CA4-4237-BC77-3E89C0202CA4}" name="2015" dataDxfId="128"/>
    <tableColumn id="22" xr3:uid="{E3B23CA2-5A44-40E4-934F-A33F13F06091}" name="2016" dataDxfId="127"/>
    <tableColumn id="23" xr3:uid="{992FBBAC-1BC7-4037-9147-6FB0CDB70A39}" name="2017" dataDxfId="126"/>
    <tableColumn id="24" xr3:uid="{2522B006-2A18-4936-A644-E677223E69AB}" name="2018" dataDxfId="125"/>
    <tableColumn id="25" xr3:uid="{33B422E4-D2D9-4C93-8DAD-804069ADA616}" name="2019" dataDxfId="124"/>
    <tableColumn id="26" xr3:uid="{CD612384-563F-4B0D-8916-BFEC95FC21C7}" name="2020" dataDxfId="123"/>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FC1391B-ACA8-4199-8C53-F3ECEFADC73E}" name="Table2a" displayName="Table2a" ref="A4:Z10" totalsRowShown="0" headerRowDxfId="122" headerRowBorderDxfId="121">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2A4C6846-D602-4D40-A264-9B59F996C325}" name="ICHA codes [note 4]" dataDxfId="120"/>
    <tableColumn id="2" xr3:uid="{EB0B5795-CD87-45FC-8DDE-7F2ED6F8593E}" name="Financing Scheme" dataDxfId="119"/>
    <tableColumn id="3" xr3:uid="{F8DEBBE9-F09A-450D-AB77-242F70FFC1E5}" name="1997" dataDxfId="118"/>
    <tableColumn id="4" xr3:uid="{97BDF18A-956E-4F11-9395-A830244923AA}" name="1998"/>
    <tableColumn id="5" xr3:uid="{C3A505E6-BD87-42D5-8D30-86D793C63F88}" name="1999"/>
    <tableColumn id="6" xr3:uid="{34CB3991-D07E-4D20-9A74-01EE22F3602C}" name="2000"/>
    <tableColumn id="7" xr3:uid="{C1B23B0D-BBF8-42D1-ABC4-C3F93A8E4D23}" name="2001"/>
    <tableColumn id="8" xr3:uid="{5113F6CB-8D8A-4EC3-9B1F-434F1DEED148}" name="2002"/>
    <tableColumn id="9" xr3:uid="{C532440A-DE15-4D52-9269-97EE76FC434B}" name="2003"/>
    <tableColumn id="10" xr3:uid="{0CDB7F30-8F41-4C90-958C-35FDD8E5602B}" name="2004"/>
    <tableColumn id="11" xr3:uid="{CA0BF78D-228A-4BFB-8D58-9E6EBB4B5E59}" name="2005"/>
    <tableColumn id="12" xr3:uid="{A9476C4B-500A-4279-83B1-68F31A5D7A76}" name="2006"/>
    <tableColumn id="13" xr3:uid="{B0DC2BCC-7650-4EF2-ACFB-083EC25AF55B}" name="2007"/>
    <tableColumn id="14" xr3:uid="{B0806FEE-A183-4778-84E6-6DFDD36A0A66}" name="2008"/>
    <tableColumn id="15" xr3:uid="{AAB09E67-92F8-4068-AED2-A10E7D00A005}" name="2009"/>
    <tableColumn id="16" xr3:uid="{1EFFF637-FFD9-45DC-B969-1022D9BC9F50}" name="2010"/>
    <tableColumn id="17" xr3:uid="{52E54316-77C9-4C79-8CBE-B0B008617D41}" name="2011"/>
    <tableColumn id="18" xr3:uid="{B6E69275-4C75-4448-8333-FC304BA8F1CE}" name="2012"/>
    <tableColumn id="19" xr3:uid="{78311940-AF03-4A47-B201-E7E55CB54A25}" name="2013"/>
    <tableColumn id="20" xr3:uid="{2BE86788-ABE0-4B8F-A260-62AC86C1596D}" name="2014"/>
    <tableColumn id="21" xr3:uid="{61465096-8F4F-44D7-829C-60EC1E79B18E}" name="2015"/>
    <tableColumn id="22" xr3:uid="{1887ECC7-1AD1-4757-9A41-7C3A40F35FA5}" name="2016"/>
    <tableColumn id="23" xr3:uid="{1EFFC985-43A6-4E0B-8C54-F5DBD673A15E}" name="2017"/>
    <tableColumn id="24" xr3:uid="{13E4327D-F1BF-4387-9A70-F79D446127A2}" name="2018"/>
    <tableColumn id="25" xr3:uid="{B86BB652-8EF9-41F6-8FD4-BB4B66550120}" name="2019"/>
    <tableColumn id="26" xr3:uid="{751BE266-126F-4C00-A605-45A063C239C3}" name="2020"/>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A074AB4-BFA1-4B90-8893-F729318B3D0D}" name="Table2b" displayName="Table2b" ref="A4:Y10" totalsRowShown="0" headerRowDxfId="117" headerRowBorderDxfId="116">
  <autoFilter ref="A4:Y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755ED0BB-C334-4327-8E40-1696DE835352}" name="ICHA codes [note 4]" dataDxfId="115"/>
    <tableColumn id="2" xr3:uid="{69919D1B-BAE3-46F0-8425-FE64AC27DF48}" name="Financing Scheme" dataDxfId="114"/>
    <tableColumn id="4" xr3:uid="{37FB546B-5DB7-4E82-BEE9-57D70A37F36C}" name="1998" dataDxfId="113" dataCellStyle="Percent">
      <calculatedColumnFormula>Table2a[[#This Row],[1998]]/Table2a[[#This Row],[1997]]-1</calculatedColumnFormula>
    </tableColumn>
    <tableColumn id="5" xr3:uid="{06AB523E-8728-4BE3-82F1-CE16CFA8AA2E}" name="1999">
      <calculatedColumnFormula>Table2a[[#This Row],[1999]]/Table2a[[#This Row],[1998]]-1</calculatedColumnFormula>
    </tableColumn>
    <tableColumn id="6" xr3:uid="{76582E18-FDB6-4B10-93D8-718C91541B42}" name="2000">
      <calculatedColumnFormula>Table2a[[#This Row],[2000]]/Table2a[[#This Row],[1999]]-1</calculatedColumnFormula>
    </tableColumn>
    <tableColumn id="7" xr3:uid="{C51AA946-128A-48DB-88B0-E49B81356C81}" name="2001">
      <calculatedColumnFormula>Table2a[[#This Row],[2001]]/Table2a[[#This Row],[2000]]-1</calculatedColumnFormula>
    </tableColumn>
    <tableColumn id="8" xr3:uid="{989DE5E6-4CE8-403B-8CF7-01B79E2AB172}" name="2002">
      <calculatedColumnFormula>Table2a[[#This Row],[2002]]/Table2a[[#This Row],[2001]]-1</calculatedColumnFormula>
    </tableColumn>
    <tableColumn id="9" xr3:uid="{FCA3A145-BE0F-4D3C-A187-CEEE3CA6C503}" name="2003">
      <calculatedColumnFormula>Table2a[[#This Row],[2003]]/Table2a[[#This Row],[2002]]-1</calculatedColumnFormula>
    </tableColumn>
    <tableColumn id="10" xr3:uid="{E62E4A33-7430-4DD4-918C-5916BA08A2E8}" name="2004">
      <calculatedColumnFormula>Table2a[[#This Row],[2004]]/Table2a[[#This Row],[2003]]-1</calculatedColumnFormula>
    </tableColumn>
    <tableColumn id="11" xr3:uid="{FE1B3316-D1BD-489A-BDD8-938A9455FA6C}" name="2005">
      <calculatedColumnFormula>Table2a[[#This Row],[2005]]/Table2a[[#This Row],[2004]]-1</calculatedColumnFormula>
    </tableColumn>
    <tableColumn id="12" xr3:uid="{E3DB22B6-8BE4-487C-8AC2-0934978D48EE}" name="2006">
      <calculatedColumnFormula>Table2a[[#This Row],[2006]]/Table2a[[#This Row],[2005]]-1</calculatedColumnFormula>
    </tableColumn>
    <tableColumn id="13" xr3:uid="{8D7C5A27-32E4-487A-BA90-494BD82955A1}" name="2007">
      <calculatedColumnFormula>Table2a[[#This Row],[2007]]/Table2a[[#This Row],[2006]]-1</calculatedColumnFormula>
    </tableColumn>
    <tableColumn id="14" xr3:uid="{DFEBD0CD-020F-488A-B7B6-F4CEE774D338}" name="2008">
      <calculatedColumnFormula>Table2a[[#This Row],[2008]]/Table2a[[#This Row],[2007]]-1</calculatedColumnFormula>
    </tableColumn>
    <tableColumn id="15" xr3:uid="{1CAD2B0D-3339-4517-AAD7-E4317E534A22}" name="2009">
      <calculatedColumnFormula>Table2a[[#This Row],[2009]]/Table2a[[#This Row],[2008]]-1</calculatedColumnFormula>
    </tableColumn>
    <tableColumn id="16" xr3:uid="{71FA9C1C-2DDE-40E2-BA0D-A8FD028F0F0C}" name="2010">
      <calculatedColumnFormula>Table2a[[#This Row],[2010]]/Table2a[[#This Row],[2009]]-1</calculatedColumnFormula>
    </tableColumn>
    <tableColumn id="17" xr3:uid="{7E5F7661-103C-4E80-A88C-945C75A21C9F}" name="2011">
      <calculatedColumnFormula>Table2a[[#This Row],[2011]]/Table2a[[#This Row],[2010]]-1</calculatedColumnFormula>
    </tableColumn>
    <tableColumn id="18" xr3:uid="{80E7EFB1-7853-47E2-8580-429B1B918B0A}" name="2012">
      <calculatedColumnFormula>Table2a[[#This Row],[2012]]/Table2a[[#This Row],[2011]]-1</calculatedColumnFormula>
    </tableColumn>
    <tableColumn id="19" xr3:uid="{792E9C8E-9CCE-4688-B34D-955A0CEA7759}" name="2013">
      <calculatedColumnFormula>Table2a[[#This Row],[2013]]/Table2a[[#This Row],[2012]]-1</calculatedColumnFormula>
    </tableColumn>
    <tableColumn id="20" xr3:uid="{23517F4F-3B63-4266-93E9-860F7733F1A7}" name="2014">
      <calculatedColumnFormula>Table2a[[#This Row],[2014]]/Table2a[[#This Row],[2013]]-1</calculatedColumnFormula>
    </tableColumn>
    <tableColumn id="21" xr3:uid="{63FCDD79-698D-442F-A6F7-572DF84A29A9}" name="2015">
      <calculatedColumnFormula>Table2a[[#This Row],[2015]]/Table2a[[#This Row],[2014]]-1</calculatedColumnFormula>
    </tableColumn>
    <tableColumn id="22" xr3:uid="{C2892BB5-B519-4AF6-8BB1-2175D2A30359}" name="2016">
      <calculatedColumnFormula>Table2a[[#This Row],[2016]]/Table2a[[#This Row],[2015]]-1</calculatedColumnFormula>
    </tableColumn>
    <tableColumn id="23" xr3:uid="{680F7F88-078D-4209-B5C8-8FA37F9E2859}" name="2017">
      <calculatedColumnFormula>Table2a[[#This Row],[2017]]/Table2a[[#This Row],[2016]]-1</calculatedColumnFormula>
    </tableColumn>
    <tableColumn id="24" xr3:uid="{AE751CC4-500F-4785-9248-9EE6A391BF34}" name="2018">
      <calculatedColumnFormula>Table2a[[#This Row],[2018]]/Table2a[[#This Row],[2017]]-1</calculatedColumnFormula>
    </tableColumn>
    <tableColumn id="25" xr3:uid="{ED0A0917-58E7-4638-B697-A7D279F4D907}" name="2019">
      <calculatedColumnFormula>Table2a[[#This Row],[2019]]/Table2a[[#This Row],[2018]]-1</calculatedColumnFormula>
    </tableColumn>
    <tableColumn id="26" xr3:uid="{EFD18AFE-C3D9-4C2A-A055-DD6AD1FD5EDC}" name="2020">
      <calculatedColumnFormula>Table2a[[#This Row],[2020]]/Table2a[[#This Row],[2019]]-1</calculatedColumnFormula>
    </tableColumn>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D8AE391-21D4-45C7-A7D7-16A2E8744D94}" name="Table2c" displayName="Table2c" ref="A4:Z10" totalsRowShown="0" headerRowDxfId="112" headerRowBorderDxfId="111">
  <autoFilter ref="A4:Z10" xr:uid="{C1C0739C-F67F-486C-847E-F700D77CBB3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BC054CA-65D5-44F9-ADAC-B47CC45DFF68}" name="ICHA codes [note 4]" dataDxfId="110"/>
    <tableColumn id="2" xr3:uid="{8D6C19AE-71FE-4807-BE66-7BDF16CDB703}" name="Financing Scheme" dataDxfId="109"/>
    <tableColumn id="3" xr3:uid="{C8D86F67-C5AD-4352-8F96-284E1D6FED60}" name="1997" dataDxfId="108"/>
    <tableColumn id="4" xr3:uid="{A0223017-9302-4275-8E4D-98F82C04168A}" name="1998"/>
    <tableColumn id="5" xr3:uid="{E4D79453-850C-48F4-9B7D-185E105DF84E}" name="1999"/>
    <tableColumn id="6" xr3:uid="{937ED141-C170-4F78-99E7-AA5E602346C6}" name="2000"/>
    <tableColumn id="7" xr3:uid="{C4DB32B2-0402-4CA7-88E1-A1977B5D318E}" name="2001"/>
    <tableColumn id="8" xr3:uid="{34F2D1ED-611A-40FF-9CD3-81416AE789A2}" name="2002"/>
    <tableColumn id="9" xr3:uid="{6051708F-F088-4AA0-97E3-036199DECA39}" name="2003"/>
    <tableColumn id="10" xr3:uid="{C0E342B1-CFF6-4CB6-BE29-AEE46DA6D0FF}" name="2004"/>
    <tableColumn id="11" xr3:uid="{12317F34-932D-4ADF-A987-6E2D7C082D59}" name="2005"/>
    <tableColumn id="12" xr3:uid="{B3397EA5-2943-4C01-B17A-43098712E7AD}" name="2006"/>
    <tableColumn id="13" xr3:uid="{BE22B772-362E-4027-A694-3E5F78EBE6DE}" name="2007"/>
    <tableColumn id="14" xr3:uid="{110D61CF-B948-4300-926A-12354F417559}" name="2008"/>
    <tableColumn id="15" xr3:uid="{8FC40772-71C5-4243-9496-E8B13D02A644}" name="2009"/>
    <tableColumn id="16" xr3:uid="{4B578E07-A584-44A2-AB63-64D789D688BE}" name="2010"/>
    <tableColumn id="17" xr3:uid="{8D35EB4C-BB2C-4C5D-83D2-C00A65813182}" name="2011"/>
    <tableColumn id="18" xr3:uid="{CAE756E4-CD37-4A9C-A8F5-410F8A4FDDF4}" name="2012"/>
    <tableColumn id="19" xr3:uid="{AA4F1A30-7E02-466B-8A54-3846563924D7}" name="2013"/>
    <tableColumn id="20" xr3:uid="{7D685919-3A16-49B3-8997-D3BF69E9AA3D}" name="2014"/>
    <tableColumn id="21" xr3:uid="{A20F230C-DB59-4C70-8C55-E2A589FA2574}" name="2015"/>
    <tableColumn id="22" xr3:uid="{42F8AF77-9ECC-4DF5-90EF-4AE659652FBA}" name="2016"/>
    <tableColumn id="23" xr3:uid="{F8A1DBAF-ED9B-4ED1-86D5-7174026F7A00}" name="2017"/>
    <tableColumn id="24" xr3:uid="{DEE43C6D-F863-463B-B7E4-3982451FAC1C}" name="2018"/>
    <tableColumn id="25" xr3:uid="{AC4FCD4D-E752-4C4B-8D85-4D3D0483BF87}" name="2019"/>
    <tableColumn id="26" xr3:uid="{8511DB67-D652-4197-B287-2DDEBE6224C3}" name="2020"/>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EE26275-A211-4FEB-BC9C-C3DC71DBC398}" name="Table3a" displayName="Table3a" ref="A4:S41" totalsRowShown="0" headerRowDxfId="107">
  <autoFilter ref="A4:S41" xr:uid="{D30A9035-FB59-46A5-BA36-19FA1EB4552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0FA95D55-BCD3-4DB9-9951-5B6FC8DEF285}" name="IHCA codes [note 5]" dataDxfId="106"/>
    <tableColumn id="2" xr3:uid="{2305B3F3-DC28-4DCD-ADE2-AE3230178EDB}" name="Healthcare Function" dataDxfId="105"/>
    <tableColumn id="4" xr3:uid="{AB9F7874-4F09-42DF-BB0B-68C8F52D7661}" name="HP.TOT"/>
    <tableColumn id="5" xr3:uid="{5D0CC6AA-C42B-4071-BD81-35D7B464303E}" name="HP.1"/>
    <tableColumn id="6" xr3:uid="{7276A2C4-563D-4D1C-800F-DAC19474D67D}" name="HP.2"/>
    <tableColumn id="7" xr3:uid="{10AAF5FC-0E95-4EEE-9447-F69EA3234499}" name="HP.3"/>
    <tableColumn id="8" xr3:uid="{AEB0870F-8CC5-4EC6-B480-A3C3DAA303DC}" name="HP.3.1"/>
    <tableColumn id="9" xr3:uid="{CADD8377-1EC0-4BC3-9485-6E04E8F86180}" name="HP.3.2"/>
    <tableColumn id="10" xr3:uid="{F282C95A-3A41-434C-9B68-895D95F345B8}" name="HP.3.5"/>
    <tableColumn id="11" xr3:uid="{04600424-DC1A-4525-AD6F-77808886B60A}" name="HP.3.x"/>
    <tableColumn id="12" xr3:uid="{C6E18773-DFB4-40B9-9479-66E7B2ED6B2C}" name="HP.4"/>
    <tableColumn id="13" xr3:uid="{94E933B3-6053-4DD0-8616-5D01161CC3E8}" name="HP.5"/>
    <tableColumn id="14" xr3:uid="{D8E39D6E-39A2-47E2-89CC-720A0E7DC87A}" name="HP.6"/>
    <tableColumn id="15" xr3:uid="{35170861-7CE9-49D2-997D-D0FC1DC9F53F}" name="HP.7"/>
    <tableColumn id="16" xr3:uid="{26DBBD4D-3A32-490C-8E96-43D684D39B4E}" name="HP.8"/>
    <tableColumn id="17" xr3:uid="{A61B2864-15CF-402D-8FE8-6C41F7476FF7}" name="HP.8.1"/>
    <tableColumn id="18" xr3:uid="{AC43C39A-B5E8-46F1-B937-AE77C9813B71}" name="HP.8.2"/>
    <tableColumn id="19" xr3:uid="{AFDC0718-B5C8-4016-B7E7-4A3E398DF359}" name="HP.9"/>
    <tableColumn id="20" xr3:uid="{73824B85-BC56-4B85-BAC9-4489E7DFACFC}" name="HP.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caresystem/datasets/healthaccountsreferencetables" TargetMode="External"/><Relationship Id="rId2" Type="http://schemas.openxmlformats.org/officeDocument/2006/relationships/hyperlink" Target="https://www.ons.gov.uk/peoplepopulationandcommunity/healthandsocialcare/healthcaresystem/datasets/healthaccountsreferencetables" TargetMode="External"/><Relationship Id="rId1" Type="http://schemas.openxmlformats.org/officeDocument/2006/relationships/hyperlink" Target="mailto:health.accounts@ons.gov.uk" TargetMode="External"/><Relationship Id="rId5" Type="http://schemas.openxmlformats.org/officeDocument/2006/relationships/printerSettings" Target="../printerSettings/printerSettings1.bin"/><Relationship Id="rId4" Type="http://schemas.openxmlformats.org/officeDocument/2006/relationships/hyperlink" Target="https://www.ons.gov.uk/peoplepopulationandcommunity/healthandsocialcare/healthcaresystem/datasets/healthaccountsreferencetables"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printerSettings" Target="../printerSettings/printerSettings19.bin"/><Relationship Id="rId1" Type="http://schemas.openxmlformats.org/officeDocument/2006/relationships/hyperlink" Target="http://www.oecd.org/els/health-systems/a-system-of-health-accounts-2011-9789264270985-en.ht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printerSettings" Target="../printerSettings/printerSettings22.bin"/><Relationship Id="rId1" Type="http://schemas.openxmlformats.org/officeDocument/2006/relationships/hyperlink" Target="http://www.oecd.org/els/health-systems/a-system-of-health-accounts-2011-9789264270985-en.htm"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ons.gov.uk/economy/grossdomesticproductgdp/timeseries/ihy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healthcaresystem/bulletins/ukhealthaccounts/2019" TargetMode="External"/><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5" Type="http://schemas.openxmlformats.org/officeDocument/2006/relationships/table" Target="../tables/table22.xm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hyperlink" Target="https://www.ons.gov.uk/peoplepopulationandcommunity/healthandsocialcare/healthcaresystem/bulletins/ukhealthaccounts/2019"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3" Type="http://schemas.openxmlformats.org/officeDocument/2006/relationships/hyperlink" Target="http://www.oecd.org/health/health-systems/a-system-of-health-accounts-9789264116016-en.htm" TargetMode="External"/><Relationship Id="rId2" Type="http://schemas.openxmlformats.org/officeDocument/2006/relationships/hyperlink" Target="https://www.ons.gov.uk/peoplepopulationandcommunity/healthandsocialcare/healthcaresystem/bulletins/ukhealthaccounts/2019" TargetMode="External"/><Relationship Id="rId1" Type="http://schemas.openxmlformats.org/officeDocument/2006/relationships/hyperlink" Target="https://www.ons.gov.uk/peoplepopulationandcommunity/healthandsocialcare/healthcaresystem/methodologies/introductiontohealthaccounts" TargetMode="External"/><Relationship Id="rId5" Type="http://schemas.openxmlformats.org/officeDocument/2006/relationships/table" Target="../tables/table24.xm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www.oecd.org/health/health-systems/a-system-of-health-accounts-9789264116016-en.htm" TargetMode="External"/><Relationship Id="rId2" Type="http://schemas.openxmlformats.org/officeDocument/2006/relationships/hyperlink" Target="https://www.ons.gov.uk/peoplepopulationandcommunity/healthandsocialcare/healthcaresystem/bulletins/ukhealthaccounts/2019" TargetMode="External"/><Relationship Id="rId1" Type="http://schemas.openxmlformats.org/officeDocument/2006/relationships/hyperlink" Target="https://www.ons.gov.uk/peoplepopulationandcommunity/healthandsocialcare/healthcaresystem/methodologies/introductiontohealthaccounts" TargetMode="External"/><Relationship Id="rId5" Type="http://schemas.openxmlformats.org/officeDocument/2006/relationships/table" Target="../tables/table25.xm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bulletins/ukhealthaccounts/2019" TargetMode="External"/><Relationship Id="rId4"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bulletins/ukhealthaccounts/2019" TargetMode="External"/><Relationship Id="rId4"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healthandsocialcare/healthcaresystem/methodologies/introductiontohealthaccounts" TargetMode="External"/><Relationship Id="rId1" Type="http://schemas.openxmlformats.org/officeDocument/2006/relationships/hyperlink" Target="http://www.oecd.org/els/health-systems/a-system-of-health-accounts-2011-9789264270985-en.htm" TargetMode="External"/><Relationship Id="rId4"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ecd.org/els/health-systems/a-system-of-health-accounts-2011-9789264270985-en.htm" TargetMode="External"/><Relationship Id="rId1" Type="http://schemas.openxmlformats.org/officeDocument/2006/relationships/hyperlink" Target="https://www.ons.gov.uk/peoplepopulationandcommunity/healthandsocialcare/healthcaresystem/methodologies/introductiontohealthaccounts" TargetMode="Externa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F56CB-FD35-4432-A7C8-C88AAF27406F}">
  <sheetPr>
    <tabColor theme="1"/>
  </sheetPr>
  <dimension ref="A1:L46"/>
  <sheetViews>
    <sheetView showGridLines="0" workbookViewId="0"/>
  </sheetViews>
  <sheetFormatPr defaultRowHeight="14.25"/>
  <cols>
    <col min="1" max="1" width="25.38671875" style="51" customWidth="1"/>
    <col min="2" max="2" width="82.44140625" style="51" customWidth="1"/>
    <col min="3" max="9" width="9.21875" style="51"/>
    <col min="10" max="10" width="10.1640625" style="51" customWidth="1"/>
    <col min="11" max="11" width="9.21875" style="51"/>
    <col min="12" max="12" width="10.21875" style="51" customWidth="1"/>
    <col min="13" max="13" width="9.44140625" style="51" customWidth="1"/>
    <col min="14" max="255" width="9.21875" style="51"/>
    <col min="256" max="256" width="3.83203125" style="51" customWidth="1"/>
    <col min="257" max="257" width="25.38671875" style="51" customWidth="1"/>
    <col min="258" max="258" width="82.44140625" style="51" customWidth="1"/>
    <col min="259" max="265" width="9.21875" style="51"/>
    <col min="266" max="266" width="10.1640625" style="51" customWidth="1"/>
    <col min="267" max="267" width="9.21875" style="51"/>
    <col min="268" max="268" width="10.21875" style="51" customWidth="1"/>
    <col min="269" max="269" width="9.44140625" style="51" customWidth="1"/>
    <col min="270" max="511" width="9.21875" style="51"/>
    <col min="512" max="512" width="3.83203125" style="51" customWidth="1"/>
    <col min="513" max="513" width="25.38671875" style="51" customWidth="1"/>
    <col min="514" max="514" width="82.44140625" style="51" customWidth="1"/>
    <col min="515" max="521" width="9.21875" style="51"/>
    <col min="522" max="522" width="10.1640625" style="51" customWidth="1"/>
    <col min="523" max="523" width="9.21875" style="51"/>
    <col min="524" max="524" width="10.21875" style="51" customWidth="1"/>
    <col min="525" max="525" width="9.44140625" style="51" customWidth="1"/>
    <col min="526" max="767" width="9.21875" style="51"/>
    <col min="768" max="768" width="3.83203125" style="51" customWidth="1"/>
    <col min="769" max="769" width="25.38671875" style="51" customWidth="1"/>
    <col min="770" max="770" width="82.44140625" style="51" customWidth="1"/>
    <col min="771" max="777" width="9.21875" style="51"/>
    <col min="778" max="778" width="10.1640625" style="51" customWidth="1"/>
    <col min="779" max="779" width="9.21875" style="51"/>
    <col min="780" max="780" width="10.21875" style="51" customWidth="1"/>
    <col min="781" max="781" width="9.44140625" style="51" customWidth="1"/>
    <col min="782" max="1023" width="9.21875" style="51"/>
    <col min="1024" max="1024" width="3.83203125" style="51" customWidth="1"/>
    <col min="1025" max="1025" width="25.38671875" style="51" customWidth="1"/>
    <col min="1026" max="1026" width="82.44140625" style="51" customWidth="1"/>
    <col min="1027" max="1033" width="9.21875" style="51"/>
    <col min="1034" max="1034" width="10.1640625" style="51" customWidth="1"/>
    <col min="1035" max="1035" width="9.21875" style="51"/>
    <col min="1036" max="1036" width="10.21875" style="51" customWidth="1"/>
    <col min="1037" max="1037" width="9.44140625" style="51" customWidth="1"/>
    <col min="1038" max="1279" width="9.21875" style="51"/>
    <col min="1280" max="1280" width="3.83203125" style="51" customWidth="1"/>
    <col min="1281" max="1281" width="25.38671875" style="51" customWidth="1"/>
    <col min="1282" max="1282" width="82.44140625" style="51" customWidth="1"/>
    <col min="1283" max="1289" width="9.21875" style="51"/>
    <col min="1290" max="1290" width="10.1640625" style="51" customWidth="1"/>
    <col min="1291" max="1291" width="9.21875" style="51"/>
    <col min="1292" max="1292" width="10.21875" style="51" customWidth="1"/>
    <col min="1293" max="1293" width="9.44140625" style="51" customWidth="1"/>
    <col min="1294" max="1535" width="9.21875" style="51"/>
    <col min="1536" max="1536" width="3.83203125" style="51" customWidth="1"/>
    <col min="1537" max="1537" width="25.38671875" style="51" customWidth="1"/>
    <col min="1538" max="1538" width="82.44140625" style="51" customWidth="1"/>
    <col min="1539" max="1545" width="9.21875" style="51"/>
    <col min="1546" max="1546" width="10.1640625" style="51" customWidth="1"/>
    <col min="1547" max="1547" width="9.21875" style="51"/>
    <col min="1548" max="1548" width="10.21875" style="51" customWidth="1"/>
    <col min="1549" max="1549" width="9.44140625" style="51" customWidth="1"/>
    <col min="1550" max="1791" width="9.21875" style="51"/>
    <col min="1792" max="1792" width="3.83203125" style="51" customWidth="1"/>
    <col min="1793" max="1793" width="25.38671875" style="51" customWidth="1"/>
    <col min="1794" max="1794" width="82.44140625" style="51" customWidth="1"/>
    <col min="1795" max="1801" width="9.21875" style="51"/>
    <col min="1802" max="1802" width="10.1640625" style="51" customWidth="1"/>
    <col min="1803" max="1803" width="9.21875" style="51"/>
    <col min="1804" max="1804" width="10.21875" style="51" customWidth="1"/>
    <col min="1805" max="1805" width="9.44140625" style="51" customWidth="1"/>
    <col min="1806" max="2047" width="9.21875" style="51"/>
    <col min="2048" max="2048" width="3.83203125" style="51" customWidth="1"/>
    <col min="2049" max="2049" width="25.38671875" style="51" customWidth="1"/>
    <col min="2050" max="2050" width="82.44140625" style="51" customWidth="1"/>
    <col min="2051" max="2057" width="9.21875" style="51"/>
    <col min="2058" max="2058" width="10.1640625" style="51" customWidth="1"/>
    <col min="2059" max="2059" width="9.21875" style="51"/>
    <col min="2060" max="2060" width="10.21875" style="51" customWidth="1"/>
    <col min="2061" max="2061" width="9.44140625" style="51" customWidth="1"/>
    <col min="2062" max="2303" width="9.21875" style="51"/>
    <col min="2304" max="2304" width="3.83203125" style="51" customWidth="1"/>
    <col min="2305" max="2305" width="25.38671875" style="51" customWidth="1"/>
    <col min="2306" max="2306" width="82.44140625" style="51" customWidth="1"/>
    <col min="2307" max="2313" width="9.21875" style="51"/>
    <col min="2314" max="2314" width="10.1640625" style="51" customWidth="1"/>
    <col min="2315" max="2315" width="9.21875" style="51"/>
    <col min="2316" max="2316" width="10.21875" style="51" customWidth="1"/>
    <col min="2317" max="2317" width="9.44140625" style="51" customWidth="1"/>
    <col min="2318" max="2559" width="9.21875" style="51"/>
    <col min="2560" max="2560" width="3.83203125" style="51" customWidth="1"/>
    <col min="2561" max="2561" width="25.38671875" style="51" customWidth="1"/>
    <col min="2562" max="2562" width="82.44140625" style="51" customWidth="1"/>
    <col min="2563" max="2569" width="9.21875" style="51"/>
    <col min="2570" max="2570" width="10.1640625" style="51" customWidth="1"/>
    <col min="2571" max="2571" width="9.21875" style="51"/>
    <col min="2572" max="2572" width="10.21875" style="51" customWidth="1"/>
    <col min="2573" max="2573" width="9.44140625" style="51" customWidth="1"/>
    <col min="2574" max="2815" width="9.21875" style="51"/>
    <col min="2816" max="2816" width="3.83203125" style="51" customWidth="1"/>
    <col min="2817" max="2817" width="25.38671875" style="51" customWidth="1"/>
    <col min="2818" max="2818" width="82.44140625" style="51" customWidth="1"/>
    <col min="2819" max="2825" width="9.21875" style="51"/>
    <col min="2826" max="2826" width="10.1640625" style="51" customWidth="1"/>
    <col min="2827" max="2827" width="9.21875" style="51"/>
    <col min="2828" max="2828" width="10.21875" style="51" customWidth="1"/>
    <col min="2829" max="2829" width="9.44140625" style="51" customWidth="1"/>
    <col min="2830" max="3071" width="9.21875" style="51"/>
    <col min="3072" max="3072" width="3.83203125" style="51" customWidth="1"/>
    <col min="3073" max="3073" width="25.38671875" style="51" customWidth="1"/>
    <col min="3074" max="3074" width="82.44140625" style="51" customWidth="1"/>
    <col min="3075" max="3081" width="9.21875" style="51"/>
    <col min="3082" max="3082" width="10.1640625" style="51" customWidth="1"/>
    <col min="3083" max="3083" width="9.21875" style="51"/>
    <col min="3084" max="3084" width="10.21875" style="51" customWidth="1"/>
    <col min="3085" max="3085" width="9.44140625" style="51" customWidth="1"/>
    <col min="3086" max="3327" width="9.21875" style="51"/>
    <col min="3328" max="3328" width="3.83203125" style="51" customWidth="1"/>
    <col min="3329" max="3329" width="25.38671875" style="51" customWidth="1"/>
    <col min="3330" max="3330" width="82.44140625" style="51" customWidth="1"/>
    <col min="3331" max="3337" width="9.21875" style="51"/>
    <col min="3338" max="3338" width="10.1640625" style="51" customWidth="1"/>
    <col min="3339" max="3339" width="9.21875" style="51"/>
    <col min="3340" max="3340" width="10.21875" style="51" customWidth="1"/>
    <col min="3341" max="3341" width="9.44140625" style="51" customWidth="1"/>
    <col min="3342" max="3583" width="9.21875" style="51"/>
    <col min="3584" max="3584" width="3.83203125" style="51" customWidth="1"/>
    <col min="3585" max="3585" width="25.38671875" style="51" customWidth="1"/>
    <col min="3586" max="3586" width="82.44140625" style="51" customWidth="1"/>
    <col min="3587" max="3593" width="9.21875" style="51"/>
    <col min="3594" max="3594" width="10.1640625" style="51" customWidth="1"/>
    <col min="3595" max="3595" width="9.21875" style="51"/>
    <col min="3596" max="3596" width="10.21875" style="51" customWidth="1"/>
    <col min="3597" max="3597" width="9.44140625" style="51" customWidth="1"/>
    <col min="3598" max="3839" width="9.21875" style="51"/>
    <col min="3840" max="3840" width="3.83203125" style="51" customWidth="1"/>
    <col min="3841" max="3841" width="25.38671875" style="51" customWidth="1"/>
    <col min="3842" max="3842" width="82.44140625" style="51" customWidth="1"/>
    <col min="3843" max="3849" width="9.21875" style="51"/>
    <col min="3850" max="3850" width="10.1640625" style="51" customWidth="1"/>
    <col min="3851" max="3851" width="9.21875" style="51"/>
    <col min="3852" max="3852" width="10.21875" style="51" customWidth="1"/>
    <col min="3853" max="3853" width="9.44140625" style="51" customWidth="1"/>
    <col min="3854" max="4095" width="9.21875" style="51"/>
    <col min="4096" max="4096" width="3.83203125" style="51" customWidth="1"/>
    <col min="4097" max="4097" width="25.38671875" style="51" customWidth="1"/>
    <col min="4098" max="4098" width="82.44140625" style="51" customWidth="1"/>
    <col min="4099" max="4105" width="9.21875" style="51"/>
    <col min="4106" max="4106" width="10.1640625" style="51" customWidth="1"/>
    <col min="4107" max="4107" width="9.21875" style="51"/>
    <col min="4108" max="4108" width="10.21875" style="51" customWidth="1"/>
    <col min="4109" max="4109" width="9.44140625" style="51" customWidth="1"/>
    <col min="4110" max="4351" width="9.21875" style="51"/>
    <col min="4352" max="4352" width="3.83203125" style="51" customWidth="1"/>
    <col min="4353" max="4353" width="25.38671875" style="51" customWidth="1"/>
    <col min="4354" max="4354" width="82.44140625" style="51" customWidth="1"/>
    <col min="4355" max="4361" width="9.21875" style="51"/>
    <col min="4362" max="4362" width="10.1640625" style="51" customWidth="1"/>
    <col min="4363" max="4363" width="9.21875" style="51"/>
    <col min="4364" max="4364" width="10.21875" style="51" customWidth="1"/>
    <col min="4365" max="4365" width="9.44140625" style="51" customWidth="1"/>
    <col min="4366" max="4607" width="9.21875" style="51"/>
    <col min="4608" max="4608" width="3.83203125" style="51" customWidth="1"/>
    <col min="4609" max="4609" width="25.38671875" style="51" customWidth="1"/>
    <col min="4610" max="4610" width="82.44140625" style="51" customWidth="1"/>
    <col min="4611" max="4617" width="9.21875" style="51"/>
    <col min="4618" max="4618" width="10.1640625" style="51" customWidth="1"/>
    <col min="4619" max="4619" width="9.21875" style="51"/>
    <col min="4620" max="4620" width="10.21875" style="51" customWidth="1"/>
    <col min="4621" max="4621" width="9.44140625" style="51" customWidth="1"/>
    <col min="4622" max="4863" width="9.21875" style="51"/>
    <col min="4864" max="4864" width="3.83203125" style="51" customWidth="1"/>
    <col min="4865" max="4865" width="25.38671875" style="51" customWidth="1"/>
    <col min="4866" max="4866" width="82.44140625" style="51" customWidth="1"/>
    <col min="4867" max="4873" width="9.21875" style="51"/>
    <col min="4874" max="4874" width="10.1640625" style="51" customWidth="1"/>
    <col min="4875" max="4875" width="9.21875" style="51"/>
    <col min="4876" max="4876" width="10.21875" style="51" customWidth="1"/>
    <col min="4877" max="4877" width="9.44140625" style="51" customWidth="1"/>
    <col min="4878" max="5119" width="9.21875" style="51"/>
    <col min="5120" max="5120" width="3.83203125" style="51" customWidth="1"/>
    <col min="5121" max="5121" width="25.38671875" style="51" customWidth="1"/>
    <col min="5122" max="5122" width="82.44140625" style="51" customWidth="1"/>
    <col min="5123" max="5129" width="9.21875" style="51"/>
    <col min="5130" max="5130" width="10.1640625" style="51" customWidth="1"/>
    <col min="5131" max="5131" width="9.21875" style="51"/>
    <col min="5132" max="5132" width="10.21875" style="51" customWidth="1"/>
    <col min="5133" max="5133" width="9.44140625" style="51" customWidth="1"/>
    <col min="5134" max="5375" width="9.21875" style="51"/>
    <col min="5376" max="5376" width="3.83203125" style="51" customWidth="1"/>
    <col min="5377" max="5377" width="25.38671875" style="51" customWidth="1"/>
    <col min="5378" max="5378" width="82.44140625" style="51" customWidth="1"/>
    <col min="5379" max="5385" width="9.21875" style="51"/>
    <col min="5386" max="5386" width="10.1640625" style="51" customWidth="1"/>
    <col min="5387" max="5387" width="9.21875" style="51"/>
    <col min="5388" max="5388" width="10.21875" style="51" customWidth="1"/>
    <col min="5389" max="5389" width="9.44140625" style="51" customWidth="1"/>
    <col min="5390" max="5631" width="9.21875" style="51"/>
    <col min="5632" max="5632" width="3.83203125" style="51" customWidth="1"/>
    <col min="5633" max="5633" width="25.38671875" style="51" customWidth="1"/>
    <col min="5634" max="5634" width="82.44140625" style="51" customWidth="1"/>
    <col min="5635" max="5641" width="9.21875" style="51"/>
    <col min="5642" max="5642" width="10.1640625" style="51" customWidth="1"/>
    <col min="5643" max="5643" width="9.21875" style="51"/>
    <col min="5644" max="5644" width="10.21875" style="51" customWidth="1"/>
    <col min="5645" max="5645" width="9.44140625" style="51" customWidth="1"/>
    <col min="5646" max="5887" width="9.21875" style="51"/>
    <col min="5888" max="5888" width="3.83203125" style="51" customWidth="1"/>
    <col min="5889" max="5889" width="25.38671875" style="51" customWidth="1"/>
    <col min="5890" max="5890" width="82.44140625" style="51" customWidth="1"/>
    <col min="5891" max="5897" width="9.21875" style="51"/>
    <col min="5898" max="5898" width="10.1640625" style="51" customWidth="1"/>
    <col min="5899" max="5899" width="9.21875" style="51"/>
    <col min="5900" max="5900" width="10.21875" style="51" customWidth="1"/>
    <col min="5901" max="5901" width="9.44140625" style="51" customWidth="1"/>
    <col min="5902" max="6143" width="9.21875" style="51"/>
    <col min="6144" max="6144" width="3.83203125" style="51" customWidth="1"/>
    <col min="6145" max="6145" width="25.38671875" style="51" customWidth="1"/>
    <col min="6146" max="6146" width="82.44140625" style="51" customWidth="1"/>
    <col min="6147" max="6153" width="9.21875" style="51"/>
    <col min="6154" max="6154" width="10.1640625" style="51" customWidth="1"/>
    <col min="6155" max="6155" width="9.21875" style="51"/>
    <col min="6156" max="6156" width="10.21875" style="51" customWidth="1"/>
    <col min="6157" max="6157" width="9.44140625" style="51" customWidth="1"/>
    <col min="6158" max="6399" width="9.21875" style="51"/>
    <col min="6400" max="6400" width="3.83203125" style="51" customWidth="1"/>
    <col min="6401" max="6401" width="25.38671875" style="51" customWidth="1"/>
    <col min="6402" max="6402" width="82.44140625" style="51" customWidth="1"/>
    <col min="6403" max="6409" width="9.21875" style="51"/>
    <col min="6410" max="6410" width="10.1640625" style="51" customWidth="1"/>
    <col min="6411" max="6411" width="9.21875" style="51"/>
    <col min="6412" max="6412" width="10.21875" style="51" customWidth="1"/>
    <col min="6413" max="6413" width="9.44140625" style="51" customWidth="1"/>
    <col min="6414" max="6655" width="9.21875" style="51"/>
    <col min="6656" max="6656" width="3.83203125" style="51" customWidth="1"/>
    <col min="6657" max="6657" width="25.38671875" style="51" customWidth="1"/>
    <col min="6658" max="6658" width="82.44140625" style="51" customWidth="1"/>
    <col min="6659" max="6665" width="9.21875" style="51"/>
    <col min="6666" max="6666" width="10.1640625" style="51" customWidth="1"/>
    <col min="6667" max="6667" width="9.21875" style="51"/>
    <col min="6668" max="6668" width="10.21875" style="51" customWidth="1"/>
    <col min="6669" max="6669" width="9.44140625" style="51" customWidth="1"/>
    <col min="6670" max="6911" width="9.21875" style="51"/>
    <col min="6912" max="6912" width="3.83203125" style="51" customWidth="1"/>
    <col min="6913" max="6913" width="25.38671875" style="51" customWidth="1"/>
    <col min="6914" max="6914" width="82.44140625" style="51" customWidth="1"/>
    <col min="6915" max="6921" width="9.21875" style="51"/>
    <col min="6922" max="6922" width="10.1640625" style="51" customWidth="1"/>
    <col min="6923" max="6923" width="9.21875" style="51"/>
    <col min="6924" max="6924" width="10.21875" style="51" customWidth="1"/>
    <col min="6925" max="6925" width="9.44140625" style="51" customWidth="1"/>
    <col min="6926" max="7167" width="9.21875" style="51"/>
    <col min="7168" max="7168" width="3.83203125" style="51" customWidth="1"/>
    <col min="7169" max="7169" width="25.38671875" style="51" customWidth="1"/>
    <col min="7170" max="7170" width="82.44140625" style="51" customWidth="1"/>
    <col min="7171" max="7177" width="9.21875" style="51"/>
    <col min="7178" max="7178" width="10.1640625" style="51" customWidth="1"/>
    <col min="7179" max="7179" width="9.21875" style="51"/>
    <col min="7180" max="7180" width="10.21875" style="51" customWidth="1"/>
    <col min="7181" max="7181" width="9.44140625" style="51" customWidth="1"/>
    <col min="7182" max="7423" width="9.21875" style="51"/>
    <col min="7424" max="7424" width="3.83203125" style="51" customWidth="1"/>
    <col min="7425" max="7425" width="25.38671875" style="51" customWidth="1"/>
    <col min="7426" max="7426" width="82.44140625" style="51" customWidth="1"/>
    <col min="7427" max="7433" width="9.21875" style="51"/>
    <col min="7434" max="7434" width="10.1640625" style="51" customWidth="1"/>
    <col min="7435" max="7435" width="9.21875" style="51"/>
    <col min="7436" max="7436" width="10.21875" style="51" customWidth="1"/>
    <col min="7437" max="7437" width="9.44140625" style="51" customWidth="1"/>
    <col min="7438" max="7679" width="9.21875" style="51"/>
    <col min="7680" max="7680" width="3.83203125" style="51" customWidth="1"/>
    <col min="7681" max="7681" width="25.38671875" style="51" customWidth="1"/>
    <col min="7682" max="7682" width="82.44140625" style="51" customWidth="1"/>
    <col min="7683" max="7689" width="9.21875" style="51"/>
    <col min="7690" max="7690" width="10.1640625" style="51" customWidth="1"/>
    <col min="7691" max="7691" width="9.21875" style="51"/>
    <col min="7692" max="7692" width="10.21875" style="51" customWidth="1"/>
    <col min="7693" max="7693" width="9.44140625" style="51" customWidth="1"/>
    <col min="7694" max="7935" width="9.21875" style="51"/>
    <col min="7936" max="7936" width="3.83203125" style="51" customWidth="1"/>
    <col min="7937" max="7937" width="25.38671875" style="51" customWidth="1"/>
    <col min="7938" max="7938" width="82.44140625" style="51" customWidth="1"/>
    <col min="7939" max="7945" width="9.21875" style="51"/>
    <col min="7946" max="7946" width="10.1640625" style="51" customWidth="1"/>
    <col min="7947" max="7947" width="9.21875" style="51"/>
    <col min="7948" max="7948" width="10.21875" style="51" customWidth="1"/>
    <col min="7949" max="7949" width="9.44140625" style="51" customWidth="1"/>
    <col min="7950" max="8191" width="9.21875" style="51"/>
    <col min="8192" max="8192" width="3.83203125" style="51" customWidth="1"/>
    <col min="8193" max="8193" width="25.38671875" style="51" customWidth="1"/>
    <col min="8194" max="8194" width="82.44140625" style="51" customWidth="1"/>
    <col min="8195" max="8201" width="9.21875" style="51"/>
    <col min="8202" max="8202" width="10.1640625" style="51" customWidth="1"/>
    <col min="8203" max="8203" width="9.21875" style="51"/>
    <col min="8204" max="8204" width="10.21875" style="51" customWidth="1"/>
    <col min="8205" max="8205" width="9.44140625" style="51" customWidth="1"/>
    <col min="8206" max="8447" width="9.21875" style="51"/>
    <col min="8448" max="8448" width="3.83203125" style="51" customWidth="1"/>
    <col min="8449" max="8449" width="25.38671875" style="51" customWidth="1"/>
    <col min="8450" max="8450" width="82.44140625" style="51" customWidth="1"/>
    <col min="8451" max="8457" width="9.21875" style="51"/>
    <col min="8458" max="8458" width="10.1640625" style="51" customWidth="1"/>
    <col min="8459" max="8459" width="9.21875" style="51"/>
    <col min="8460" max="8460" width="10.21875" style="51" customWidth="1"/>
    <col min="8461" max="8461" width="9.44140625" style="51" customWidth="1"/>
    <col min="8462" max="8703" width="9.21875" style="51"/>
    <col min="8704" max="8704" width="3.83203125" style="51" customWidth="1"/>
    <col min="8705" max="8705" width="25.38671875" style="51" customWidth="1"/>
    <col min="8706" max="8706" width="82.44140625" style="51" customWidth="1"/>
    <col min="8707" max="8713" width="9.21875" style="51"/>
    <col min="8714" max="8714" width="10.1640625" style="51" customWidth="1"/>
    <col min="8715" max="8715" width="9.21875" style="51"/>
    <col min="8716" max="8716" width="10.21875" style="51" customWidth="1"/>
    <col min="8717" max="8717" width="9.44140625" style="51" customWidth="1"/>
    <col min="8718" max="8959" width="9.21875" style="51"/>
    <col min="8960" max="8960" width="3.83203125" style="51" customWidth="1"/>
    <col min="8961" max="8961" width="25.38671875" style="51" customWidth="1"/>
    <col min="8962" max="8962" width="82.44140625" style="51" customWidth="1"/>
    <col min="8963" max="8969" width="9.21875" style="51"/>
    <col min="8970" max="8970" width="10.1640625" style="51" customWidth="1"/>
    <col min="8971" max="8971" width="9.21875" style="51"/>
    <col min="8972" max="8972" width="10.21875" style="51" customWidth="1"/>
    <col min="8973" max="8973" width="9.44140625" style="51" customWidth="1"/>
    <col min="8974" max="9215" width="9.21875" style="51"/>
    <col min="9216" max="9216" width="3.83203125" style="51" customWidth="1"/>
    <col min="9217" max="9217" width="25.38671875" style="51" customWidth="1"/>
    <col min="9218" max="9218" width="82.44140625" style="51" customWidth="1"/>
    <col min="9219" max="9225" width="9.21875" style="51"/>
    <col min="9226" max="9226" width="10.1640625" style="51" customWidth="1"/>
    <col min="9227" max="9227" width="9.21875" style="51"/>
    <col min="9228" max="9228" width="10.21875" style="51" customWidth="1"/>
    <col min="9229" max="9229" width="9.44140625" style="51" customWidth="1"/>
    <col min="9230" max="9471" width="9.21875" style="51"/>
    <col min="9472" max="9472" width="3.83203125" style="51" customWidth="1"/>
    <col min="9473" max="9473" width="25.38671875" style="51" customWidth="1"/>
    <col min="9474" max="9474" width="82.44140625" style="51" customWidth="1"/>
    <col min="9475" max="9481" width="9.21875" style="51"/>
    <col min="9482" max="9482" width="10.1640625" style="51" customWidth="1"/>
    <col min="9483" max="9483" width="9.21875" style="51"/>
    <col min="9484" max="9484" width="10.21875" style="51" customWidth="1"/>
    <col min="9485" max="9485" width="9.44140625" style="51" customWidth="1"/>
    <col min="9486" max="9727" width="9.21875" style="51"/>
    <col min="9728" max="9728" width="3.83203125" style="51" customWidth="1"/>
    <col min="9729" max="9729" width="25.38671875" style="51" customWidth="1"/>
    <col min="9730" max="9730" width="82.44140625" style="51" customWidth="1"/>
    <col min="9731" max="9737" width="9.21875" style="51"/>
    <col min="9738" max="9738" width="10.1640625" style="51" customWidth="1"/>
    <col min="9739" max="9739" width="9.21875" style="51"/>
    <col min="9740" max="9740" width="10.21875" style="51" customWidth="1"/>
    <col min="9741" max="9741" width="9.44140625" style="51" customWidth="1"/>
    <col min="9742" max="9983" width="9.21875" style="51"/>
    <col min="9984" max="9984" width="3.83203125" style="51" customWidth="1"/>
    <col min="9985" max="9985" width="25.38671875" style="51" customWidth="1"/>
    <col min="9986" max="9986" width="82.44140625" style="51" customWidth="1"/>
    <col min="9987" max="9993" width="9.21875" style="51"/>
    <col min="9994" max="9994" width="10.1640625" style="51" customWidth="1"/>
    <col min="9995" max="9995" width="9.21875" style="51"/>
    <col min="9996" max="9996" width="10.21875" style="51" customWidth="1"/>
    <col min="9997" max="9997" width="9.44140625" style="51" customWidth="1"/>
    <col min="9998" max="10239" width="9.21875" style="51"/>
    <col min="10240" max="10240" width="3.83203125" style="51" customWidth="1"/>
    <col min="10241" max="10241" width="25.38671875" style="51" customWidth="1"/>
    <col min="10242" max="10242" width="82.44140625" style="51" customWidth="1"/>
    <col min="10243" max="10249" width="9.21875" style="51"/>
    <col min="10250" max="10250" width="10.1640625" style="51" customWidth="1"/>
    <col min="10251" max="10251" width="9.21875" style="51"/>
    <col min="10252" max="10252" width="10.21875" style="51" customWidth="1"/>
    <col min="10253" max="10253" width="9.44140625" style="51" customWidth="1"/>
    <col min="10254" max="10495" width="9.21875" style="51"/>
    <col min="10496" max="10496" width="3.83203125" style="51" customWidth="1"/>
    <col min="10497" max="10497" width="25.38671875" style="51" customWidth="1"/>
    <col min="10498" max="10498" width="82.44140625" style="51" customWidth="1"/>
    <col min="10499" max="10505" width="9.21875" style="51"/>
    <col min="10506" max="10506" width="10.1640625" style="51" customWidth="1"/>
    <col min="10507" max="10507" width="9.21875" style="51"/>
    <col min="10508" max="10508" width="10.21875" style="51" customWidth="1"/>
    <col min="10509" max="10509" width="9.44140625" style="51" customWidth="1"/>
    <col min="10510" max="10751" width="9.21875" style="51"/>
    <col min="10752" max="10752" width="3.83203125" style="51" customWidth="1"/>
    <col min="10753" max="10753" width="25.38671875" style="51" customWidth="1"/>
    <col min="10754" max="10754" width="82.44140625" style="51" customWidth="1"/>
    <col min="10755" max="10761" width="9.21875" style="51"/>
    <col min="10762" max="10762" width="10.1640625" style="51" customWidth="1"/>
    <col min="10763" max="10763" width="9.21875" style="51"/>
    <col min="10764" max="10764" width="10.21875" style="51" customWidth="1"/>
    <col min="10765" max="10765" width="9.44140625" style="51" customWidth="1"/>
    <col min="10766" max="11007" width="9.21875" style="51"/>
    <col min="11008" max="11008" width="3.83203125" style="51" customWidth="1"/>
    <col min="11009" max="11009" width="25.38671875" style="51" customWidth="1"/>
    <col min="11010" max="11010" width="82.44140625" style="51" customWidth="1"/>
    <col min="11011" max="11017" width="9.21875" style="51"/>
    <col min="11018" max="11018" width="10.1640625" style="51" customWidth="1"/>
    <col min="11019" max="11019" width="9.21875" style="51"/>
    <col min="11020" max="11020" width="10.21875" style="51" customWidth="1"/>
    <col min="11021" max="11021" width="9.44140625" style="51" customWidth="1"/>
    <col min="11022" max="11263" width="9.21875" style="51"/>
    <col min="11264" max="11264" width="3.83203125" style="51" customWidth="1"/>
    <col min="11265" max="11265" width="25.38671875" style="51" customWidth="1"/>
    <col min="11266" max="11266" width="82.44140625" style="51" customWidth="1"/>
    <col min="11267" max="11273" width="9.21875" style="51"/>
    <col min="11274" max="11274" width="10.1640625" style="51" customWidth="1"/>
    <col min="11275" max="11275" width="9.21875" style="51"/>
    <col min="11276" max="11276" width="10.21875" style="51" customWidth="1"/>
    <col min="11277" max="11277" width="9.44140625" style="51" customWidth="1"/>
    <col min="11278" max="11519" width="9.21875" style="51"/>
    <col min="11520" max="11520" width="3.83203125" style="51" customWidth="1"/>
    <col min="11521" max="11521" width="25.38671875" style="51" customWidth="1"/>
    <col min="11522" max="11522" width="82.44140625" style="51" customWidth="1"/>
    <col min="11523" max="11529" width="9.21875" style="51"/>
    <col min="11530" max="11530" width="10.1640625" style="51" customWidth="1"/>
    <col min="11531" max="11531" width="9.21875" style="51"/>
    <col min="11532" max="11532" width="10.21875" style="51" customWidth="1"/>
    <col min="11533" max="11533" width="9.44140625" style="51" customWidth="1"/>
    <col min="11534" max="11775" width="9.21875" style="51"/>
    <col min="11776" max="11776" width="3.83203125" style="51" customWidth="1"/>
    <col min="11777" max="11777" width="25.38671875" style="51" customWidth="1"/>
    <col min="11778" max="11778" width="82.44140625" style="51" customWidth="1"/>
    <col min="11779" max="11785" width="9.21875" style="51"/>
    <col min="11786" max="11786" width="10.1640625" style="51" customWidth="1"/>
    <col min="11787" max="11787" width="9.21875" style="51"/>
    <col min="11788" max="11788" width="10.21875" style="51" customWidth="1"/>
    <col min="11789" max="11789" width="9.44140625" style="51" customWidth="1"/>
    <col min="11790" max="12031" width="9.21875" style="51"/>
    <col min="12032" max="12032" width="3.83203125" style="51" customWidth="1"/>
    <col min="12033" max="12033" width="25.38671875" style="51" customWidth="1"/>
    <col min="12034" max="12034" width="82.44140625" style="51" customWidth="1"/>
    <col min="12035" max="12041" width="9.21875" style="51"/>
    <col min="12042" max="12042" width="10.1640625" style="51" customWidth="1"/>
    <col min="12043" max="12043" width="9.21875" style="51"/>
    <col min="12044" max="12044" width="10.21875" style="51" customWidth="1"/>
    <col min="12045" max="12045" width="9.44140625" style="51" customWidth="1"/>
    <col min="12046" max="12287" width="9.21875" style="51"/>
    <col min="12288" max="12288" width="3.83203125" style="51" customWidth="1"/>
    <col min="12289" max="12289" width="25.38671875" style="51" customWidth="1"/>
    <col min="12290" max="12290" width="82.44140625" style="51" customWidth="1"/>
    <col min="12291" max="12297" width="9.21875" style="51"/>
    <col min="12298" max="12298" width="10.1640625" style="51" customWidth="1"/>
    <col min="12299" max="12299" width="9.21875" style="51"/>
    <col min="12300" max="12300" width="10.21875" style="51" customWidth="1"/>
    <col min="12301" max="12301" width="9.44140625" style="51" customWidth="1"/>
    <col min="12302" max="12543" width="9.21875" style="51"/>
    <col min="12544" max="12544" width="3.83203125" style="51" customWidth="1"/>
    <col min="12545" max="12545" width="25.38671875" style="51" customWidth="1"/>
    <col min="12546" max="12546" width="82.44140625" style="51" customWidth="1"/>
    <col min="12547" max="12553" width="9.21875" style="51"/>
    <col min="12554" max="12554" width="10.1640625" style="51" customWidth="1"/>
    <col min="12555" max="12555" width="9.21875" style="51"/>
    <col min="12556" max="12556" width="10.21875" style="51" customWidth="1"/>
    <col min="12557" max="12557" width="9.44140625" style="51" customWidth="1"/>
    <col min="12558" max="12799" width="9.21875" style="51"/>
    <col min="12800" max="12800" width="3.83203125" style="51" customWidth="1"/>
    <col min="12801" max="12801" width="25.38671875" style="51" customWidth="1"/>
    <col min="12802" max="12802" width="82.44140625" style="51" customWidth="1"/>
    <col min="12803" max="12809" width="9.21875" style="51"/>
    <col min="12810" max="12810" width="10.1640625" style="51" customWidth="1"/>
    <col min="12811" max="12811" width="9.21875" style="51"/>
    <col min="12812" max="12812" width="10.21875" style="51" customWidth="1"/>
    <col min="12813" max="12813" width="9.44140625" style="51" customWidth="1"/>
    <col min="12814" max="13055" width="9.21875" style="51"/>
    <col min="13056" max="13056" width="3.83203125" style="51" customWidth="1"/>
    <col min="13057" max="13057" width="25.38671875" style="51" customWidth="1"/>
    <col min="13058" max="13058" width="82.44140625" style="51" customWidth="1"/>
    <col min="13059" max="13065" width="9.21875" style="51"/>
    <col min="13066" max="13066" width="10.1640625" style="51" customWidth="1"/>
    <col min="13067" max="13067" width="9.21875" style="51"/>
    <col min="13068" max="13068" width="10.21875" style="51" customWidth="1"/>
    <col min="13069" max="13069" width="9.44140625" style="51" customWidth="1"/>
    <col min="13070" max="13311" width="9.21875" style="51"/>
    <col min="13312" max="13312" width="3.83203125" style="51" customWidth="1"/>
    <col min="13313" max="13313" width="25.38671875" style="51" customWidth="1"/>
    <col min="13314" max="13314" width="82.44140625" style="51" customWidth="1"/>
    <col min="13315" max="13321" width="9.21875" style="51"/>
    <col min="13322" max="13322" width="10.1640625" style="51" customWidth="1"/>
    <col min="13323" max="13323" width="9.21875" style="51"/>
    <col min="13324" max="13324" width="10.21875" style="51" customWidth="1"/>
    <col min="13325" max="13325" width="9.44140625" style="51" customWidth="1"/>
    <col min="13326" max="13567" width="9.21875" style="51"/>
    <col min="13568" max="13568" width="3.83203125" style="51" customWidth="1"/>
    <col min="13569" max="13569" width="25.38671875" style="51" customWidth="1"/>
    <col min="13570" max="13570" width="82.44140625" style="51" customWidth="1"/>
    <col min="13571" max="13577" width="9.21875" style="51"/>
    <col min="13578" max="13578" width="10.1640625" style="51" customWidth="1"/>
    <col min="13579" max="13579" width="9.21875" style="51"/>
    <col min="13580" max="13580" width="10.21875" style="51" customWidth="1"/>
    <col min="13581" max="13581" width="9.44140625" style="51" customWidth="1"/>
    <col min="13582" max="13823" width="9.21875" style="51"/>
    <col min="13824" max="13824" width="3.83203125" style="51" customWidth="1"/>
    <col min="13825" max="13825" width="25.38671875" style="51" customWidth="1"/>
    <col min="13826" max="13826" width="82.44140625" style="51" customWidth="1"/>
    <col min="13827" max="13833" width="9.21875" style="51"/>
    <col min="13834" max="13834" width="10.1640625" style="51" customWidth="1"/>
    <col min="13835" max="13835" width="9.21875" style="51"/>
    <col min="13836" max="13836" width="10.21875" style="51" customWidth="1"/>
    <col min="13837" max="13837" width="9.44140625" style="51" customWidth="1"/>
    <col min="13838" max="14079" width="9.21875" style="51"/>
    <col min="14080" max="14080" width="3.83203125" style="51" customWidth="1"/>
    <col min="14081" max="14081" width="25.38671875" style="51" customWidth="1"/>
    <col min="14082" max="14082" width="82.44140625" style="51" customWidth="1"/>
    <col min="14083" max="14089" width="9.21875" style="51"/>
    <col min="14090" max="14090" width="10.1640625" style="51" customWidth="1"/>
    <col min="14091" max="14091" width="9.21875" style="51"/>
    <col min="14092" max="14092" width="10.21875" style="51" customWidth="1"/>
    <col min="14093" max="14093" width="9.44140625" style="51" customWidth="1"/>
    <col min="14094" max="14335" width="9.21875" style="51"/>
    <col min="14336" max="14336" width="3.83203125" style="51" customWidth="1"/>
    <col min="14337" max="14337" width="25.38671875" style="51" customWidth="1"/>
    <col min="14338" max="14338" width="82.44140625" style="51" customWidth="1"/>
    <col min="14339" max="14345" width="9.21875" style="51"/>
    <col min="14346" max="14346" width="10.1640625" style="51" customWidth="1"/>
    <col min="14347" max="14347" width="9.21875" style="51"/>
    <col min="14348" max="14348" width="10.21875" style="51" customWidth="1"/>
    <col min="14349" max="14349" width="9.44140625" style="51" customWidth="1"/>
    <col min="14350" max="14591" width="9.21875" style="51"/>
    <col min="14592" max="14592" width="3.83203125" style="51" customWidth="1"/>
    <col min="14593" max="14593" width="25.38671875" style="51" customWidth="1"/>
    <col min="14594" max="14594" width="82.44140625" style="51" customWidth="1"/>
    <col min="14595" max="14601" width="9.21875" style="51"/>
    <col min="14602" max="14602" width="10.1640625" style="51" customWidth="1"/>
    <col min="14603" max="14603" width="9.21875" style="51"/>
    <col min="14604" max="14604" width="10.21875" style="51" customWidth="1"/>
    <col min="14605" max="14605" width="9.44140625" style="51" customWidth="1"/>
    <col min="14606" max="14847" width="9.21875" style="51"/>
    <col min="14848" max="14848" width="3.83203125" style="51" customWidth="1"/>
    <col min="14849" max="14849" width="25.38671875" style="51" customWidth="1"/>
    <col min="14850" max="14850" width="82.44140625" style="51" customWidth="1"/>
    <col min="14851" max="14857" width="9.21875" style="51"/>
    <col min="14858" max="14858" width="10.1640625" style="51" customWidth="1"/>
    <col min="14859" max="14859" width="9.21875" style="51"/>
    <col min="14860" max="14860" width="10.21875" style="51" customWidth="1"/>
    <col min="14861" max="14861" width="9.44140625" style="51" customWidth="1"/>
    <col min="14862" max="15103" width="9.21875" style="51"/>
    <col min="15104" max="15104" width="3.83203125" style="51" customWidth="1"/>
    <col min="15105" max="15105" width="25.38671875" style="51" customWidth="1"/>
    <col min="15106" max="15106" width="82.44140625" style="51" customWidth="1"/>
    <col min="15107" max="15113" width="9.21875" style="51"/>
    <col min="15114" max="15114" width="10.1640625" style="51" customWidth="1"/>
    <col min="15115" max="15115" width="9.21875" style="51"/>
    <col min="15116" max="15116" width="10.21875" style="51" customWidth="1"/>
    <col min="15117" max="15117" width="9.44140625" style="51" customWidth="1"/>
    <col min="15118" max="15359" width="9.21875" style="51"/>
    <col min="15360" max="15360" width="3.83203125" style="51" customWidth="1"/>
    <col min="15361" max="15361" width="25.38671875" style="51" customWidth="1"/>
    <col min="15362" max="15362" width="82.44140625" style="51" customWidth="1"/>
    <col min="15363" max="15369" width="9.21875" style="51"/>
    <col min="15370" max="15370" width="10.1640625" style="51" customWidth="1"/>
    <col min="15371" max="15371" width="9.21875" style="51"/>
    <col min="15372" max="15372" width="10.21875" style="51" customWidth="1"/>
    <col min="15373" max="15373" width="9.44140625" style="51" customWidth="1"/>
    <col min="15374" max="15615" width="9.21875" style="51"/>
    <col min="15616" max="15616" width="3.83203125" style="51" customWidth="1"/>
    <col min="15617" max="15617" width="25.38671875" style="51" customWidth="1"/>
    <col min="15618" max="15618" width="82.44140625" style="51" customWidth="1"/>
    <col min="15619" max="15625" width="9.21875" style="51"/>
    <col min="15626" max="15626" width="10.1640625" style="51" customWidth="1"/>
    <col min="15627" max="15627" width="9.21875" style="51"/>
    <col min="15628" max="15628" width="10.21875" style="51" customWidth="1"/>
    <col min="15629" max="15629" width="9.44140625" style="51" customWidth="1"/>
    <col min="15630" max="15871" width="9.21875" style="51"/>
    <col min="15872" max="15872" width="3.83203125" style="51" customWidth="1"/>
    <col min="15873" max="15873" width="25.38671875" style="51" customWidth="1"/>
    <col min="15874" max="15874" width="82.44140625" style="51" customWidth="1"/>
    <col min="15875" max="15881" width="9.21875" style="51"/>
    <col min="15882" max="15882" width="10.1640625" style="51" customWidth="1"/>
    <col min="15883" max="15883" width="9.21875" style="51"/>
    <col min="15884" max="15884" width="10.21875" style="51" customWidth="1"/>
    <col min="15885" max="15885" width="9.44140625" style="51" customWidth="1"/>
    <col min="15886" max="16127" width="9.21875" style="51"/>
    <col min="16128" max="16128" width="3.83203125" style="51" customWidth="1"/>
    <col min="16129" max="16129" width="25.38671875" style="51" customWidth="1"/>
    <col min="16130" max="16130" width="82.44140625" style="51" customWidth="1"/>
    <col min="16131" max="16137" width="9.21875" style="51"/>
    <col min="16138" max="16138" width="10.1640625" style="51" customWidth="1"/>
    <col min="16139" max="16139" width="9.21875" style="51"/>
    <col min="16140" max="16140" width="10.21875" style="51" customWidth="1"/>
    <col min="16141" max="16141" width="9.44140625" style="51" customWidth="1"/>
    <col min="16142" max="16384" width="9.21875" style="51"/>
  </cols>
  <sheetData>
    <row r="1" spans="1:2" ht="42.5" customHeight="1">
      <c r="A1" s="83" t="s">
        <v>339</v>
      </c>
      <c r="B1" s="50"/>
    </row>
    <row r="2" spans="1:2" ht="58.5" customHeight="1">
      <c r="A2" s="52" t="s">
        <v>393</v>
      </c>
      <c r="B2" s="50"/>
    </row>
    <row r="3" spans="1:2" ht="18" customHeight="1">
      <c r="A3" s="84" t="s">
        <v>256</v>
      </c>
      <c r="B3" s="82"/>
    </row>
    <row r="4" spans="1:2" ht="18">
      <c r="A4" s="53" t="s">
        <v>257</v>
      </c>
    </row>
    <row r="5" spans="1:2">
      <c r="A5" s="54" t="s">
        <v>258</v>
      </c>
    </row>
    <row r="6" spans="1:2">
      <c r="A6" s="55" t="s">
        <v>322</v>
      </c>
    </row>
    <row r="7" spans="1:2">
      <c r="A7" s="51" t="s">
        <v>259</v>
      </c>
    </row>
    <row r="8" spans="1:2">
      <c r="A8" s="56" t="s">
        <v>260</v>
      </c>
    </row>
    <row r="9" spans="1:2">
      <c r="A9" s="55" t="s">
        <v>261</v>
      </c>
    </row>
    <row r="10" spans="1:2">
      <c r="A10" s="55" t="s">
        <v>262</v>
      </c>
    </row>
    <row r="11" spans="1:2">
      <c r="A11" s="57" t="s">
        <v>263</v>
      </c>
    </row>
    <row r="12" spans="1:2">
      <c r="A12" s="58" t="s">
        <v>264</v>
      </c>
    </row>
    <row r="13" spans="1:2">
      <c r="A13" s="60" t="s">
        <v>265</v>
      </c>
    </row>
    <row r="14" spans="1:2">
      <c r="A14" s="61" t="s">
        <v>266</v>
      </c>
    </row>
    <row r="15" spans="1:2">
      <c r="A15" s="60" t="s">
        <v>340</v>
      </c>
      <c r="B15" s="62"/>
    </row>
    <row r="16" spans="1:2">
      <c r="A16" s="61" t="s">
        <v>267</v>
      </c>
      <c r="B16" s="62"/>
    </row>
    <row r="17" spans="1:12">
      <c r="A17" s="62"/>
      <c r="B17" s="62"/>
    </row>
    <row r="18" spans="1:12">
      <c r="A18" s="62"/>
      <c r="B18" s="62"/>
    </row>
    <row r="19" spans="1:12">
      <c r="A19" s="62"/>
      <c r="B19" s="62"/>
    </row>
    <row r="20" spans="1:12">
      <c r="A20" s="62"/>
      <c r="B20" s="62"/>
    </row>
    <row r="21" spans="1:12">
      <c r="A21" s="62"/>
      <c r="B21" s="62"/>
    </row>
    <row r="22" spans="1:12">
      <c r="A22" s="62"/>
      <c r="B22" s="62"/>
    </row>
    <row r="23" spans="1:12">
      <c r="A23" s="62"/>
      <c r="B23" s="62"/>
      <c r="L23" s="59"/>
    </row>
    <row r="24" spans="1:12">
      <c r="A24" s="62"/>
      <c r="B24" s="62"/>
    </row>
    <row r="25" spans="1:12">
      <c r="A25" s="62"/>
      <c r="B25" s="62"/>
    </row>
    <row r="26" spans="1:12">
      <c r="A26" s="63"/>
      <c r="B26" s="62"/>
    </row>
    <row r="27" spans="1:12">
      <c r="A27" s="64"/>
      <c r="B27" s="62"/>
    </row>
    <row r="28" spans="1:12">
      <c r="A28" s="65"/>
      <c r="B28" s="62"/>
    </row>
    <row r="29" spans="1:12">
      <c r="A29" s="65"/>
      <c r="B29" s="62"/>
    </row>
    <row r="30" spans="1:12">
      <c r="A30" s="65"/>
      <c r="B30" s="62"/>
    </row>
    <row r="31" spans="1:12">
      <c r="A31" s="65"/>
      <c r="B31" s="62"/>
      <c r="C31" s="64"/>
      <c r="D31" s="64"/>
      <c r="E31" s="64"/>
    </row>
    <row r="32" spans="1:12">
      <c r="A32" s="63"/>
      <c r="B32" s="62"/>
      <c r="C32" s="64"/>
      <c r="D32" s="64"/>
      <c r="E32" s="64"/>
    </row>
    <row r="33" spans="1:5">
      <c r="A33" s="63"/>
      <c r="B33" s="62"/>
      <c r="C33" s="64"/>
      <c r="D33" s="64"/>
      <c r="E33" s="64"/>
    </row>
    <row r="34" spans="1:5">
      <c r="A34" s="64"/>
      <c r="B34" s="62"/>
      <c r="C34" s="64"/>
      <c r="D34" s="64"/>
      <c r="E34" s="64"/>
    </row>
    <row r="35" spans="1:5">
      <c r="A35" s="64"/>
      <c r="B35" s="66"/>
      <c r="C35" s="64"/>
      <c r="D35" s="64"/>
      <c r="E35" s="64"/>
    </row>
    <row r="36" spans="1:5">
      <c r="A36" s="64"/>
      <c r="B36" s="62"/>
      <c r="C36" s="64"/>
      <c r="D36" s="64"/>
      <c r="E36" s="64"/>
    </row>
    <row r="37" spans="1:5">
      <c r="A37" s="64"/>
      <c r="B37" s="62"/>
      <c r="C37" s="64"/>
      <c r="D37" s="64"/>
      <c r="E37" s="64"/>
    </row>
    <row r="38" spans="1:5">
      <c r="A38" s="64"/>
      <c r="B38" s="62"/>
      <c r="C38" s="64"/>
      <c r="D38" s="64"/>
      <c r="E38" s="64"/>
    </row>
    <row r="39" spans="1:5">
      <c r="A39" s="64"/>
      <c r="B39" s="62"/>
      <c r="C39" s="64"/>
      <c r="D39" s="64"/>
      <c r="E39" s="64"/>
    </row>
    <row r="40" spans="1:5">
      <c r="A40" s="64"/>
      <c r="B40" s="62"/>
      <c r="C40" s="64"/>
      <c r="D40" s="64"/>
      <c r="E40" s="64"/>
    </row>
    <row r="41" spans="1:5">
      <c r="B41" s="62"/>
      <c r="C41" s="64"/>
      <c r="D41" s="64"/>
      <c r="E41" s="64"/>
    </row>
    <row r="42" spans="1:5">
      <c r="B42" s="62"/>
      <c r="C42" s="64"/>
      <c r="D42" s="64"/>
      <c r="E42" s="64"/>
    </row>
    <row r="43" spans="1:5">
      <c r="B43" s="62"/>
      <c r="C43" s="64"/>
      <c r="D43" s="64"/>
      <c r="E43" s="64"/>
    </row>
    <row r="44" spans="1:5">
      <c r="B44" s="62"/>
      <c r="C44" s="64"/>
      <c r="D44" s="64"/>
      <c r="E44" s="64"/>
    </row>
    <row r="45" spans="1:5">
      <c r="B45" s="62"/>
    </row>
    <row r="46" spans="1:5">
      <c r="B46" s="62"/>
    </row>
  </sheetData>
  <hyperlinks>
    <hyperlink ref="A4" location="Contents!A1" display="View the contents of this dataset" xr:uid="{5097ECA8-0D5E-49F5-9CEC-21C4D93CF055}"/>
    <hyperlink ref="A8" r:id="rId1" xr:uid="{96A3B222-B9F7-4418-8F23-94F21BDF611C}"/>
    <hyperlink ref="A14" r:id="rId2" display="Health accounts current healthcare expenditure data 2013 to 2018" xr:uid="{D12EA139-73B1-4C9B-AE7A-C64C59446B9E}"/>
    <hyperlink ref="A16" r:id="rId3" display="Health accounts financing data 1997 to 2019" xr:uid="{D17EB52A-20EC-4A92-8743-86A417DE7797}"/>
    <hyperlink ref="A12" r:id="rId4" xr:uid="{A786EB62-3900-485C-B571-09DEFCF16F29}"/>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D55BD-50C5-4D7C-9486-48FDBE40C615}">
  <sheetPr>
    <tabColor theme="9" tint="0.59999389629810485"/>
  </sheetPr>
  <dimension ref="A1:Z24"/>
  <sheetViews>
    <sheetView showGridLines="0" zoomScale="70" zoomScaleNormal="70" workbookViewId="0"/>
  </sheetViews>
  <sheetFormatPr defaultRowHeight="15"/>
  <cols>
    <col min="1" max="1" width="13.83203125" customWidth="1"/>
    <col min="2" max="2" width="59" customWidth="1"/>
  </cols>
  <sheetData>
    <row r="1" spans="1:26" ht="17.649999999999999">
      <c r="A1" s="12" t="s">
        <v>162</v>
      </c>
    </row>
    <row r="2" spans="1:26">
      <c r="A2" s="11" t="s">
        <v>159</v>
      </c>
    </row>
    <row r="3" spans="1:26" ht="31.5" customHeight="1">
      <c r="A3" s="11" t="s">
        <v>64</v>
      </c>
      <c r="C3" s="11"/>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6">
        <v>1827</v>
      </c>
      <c r="D5" s="76">
        <v>1920</v>
      </c>
      <c r="E5" s="76">
        <v>2025</v>
      </c>
      <c r="F5" s="76">
        <v>2094</v>
      </c>
      <c r="G5" s="76">
        <v>2187</v>
      </c>
      <c r="H5" s="76">
        <v>2317</v>
      </c>
      <c r="I5" s="76">
        <v>2492</v>
      </c>
      <c r="J5" s="76">
        <v>2616</v>
      </c>
      <c r="K5" s="76">
        <v>2684</v>
      </c>
      <c r="L5" s="76">
        <v>2814</v>
      </c>
      <c r="M5" s="76">
        <v>2846</v>
      </c>
      <c r="N5" s="76">
        <v>2954</v>
      </c>
      <c r="O5" s="76">
        <v>3124</v>
      </c>
      <c r="P5" s="76">
        <v>3139</v>
      </c>
      <c r="Q5" s="76">
        <v>3146</v>
      </c>
      <c r="R5" s="76">
        <v>3177</v>
      </c>
      <c r="S5" s="76">
        <v>3188</v>
      </c>
      <c r="T5" s="76">
        <v>3254</v>
      </c>
      <c r="U5" s="76">
        <v>3289</v>
      </c>
      <c r="V5" s="76">
        <v>3315</v>
      </c>
      <c r="W5" s="76">
        <v>3329</v>
      </c>
      <c r="X5" s="76">
        <v>3389</v>
      </c>
      <c r="Y5" s="76">
        <v>3504</v>
      </c>
      <c r="Z5" s="76">
        <v>3840</v>
      </c>
    </row>
    <row r="6" spans="1:26">
      <c r="A6" s="3" t="s">
        <v>1</v>
      </c>
      <c r="B6" s="39" t="s">
        <v>7</v>
      </c>
      <c r="C6" s="76">
        <v>1370</v>
      </c>
      <c r="D6" s="76">
        <v>1445</v>
      </c>
      <c r="E6" s="76">
        <v>1540</v>
      </c>
      <c r="F6" s="76">
        <v>1594</v>
      </c>
      <c r="G6" s="76">
        <v>1698</v>
      </c>
      <c r="H6" s="76">
        <v>1836</v>
      </c>
      <c r="I6" s="76">
        <v>1949</v>
      </c>
      <c r="J6" s="76">
        <v>2093</v>
      </c>
      <c r="K6" s="76">
        <v>2173</v>
      </c>
      <c r="L6" s="76">
        <v>2282</v>
      </c>
      <c r="M6" s="76">
        <v>2315</v>
      </c>
      <c r="N6" s="76">
        <v>2392</v>
      </c>
      <c r="O6" s="76">
        <v>2519</v>
      </c>
      <c r="P6" s="76">
        <v>2525</v>
      </c>
      <c r="Q6" s="76">
        <v>2529</v>
      </c>
      <c r="R6" s="76">
        <v>2545</v>
      </c>
      <c r="S6" s="76">
        <v>2545</v>
      </c>
      <c r="T6" s="76">
        <v>2599</v>
      </c>
      <c r="U6" s="76">
        <v>2622</v>
      </c>
      <c r="V6" s="76">
        <v>2658</v>
      </c>
      <c r="W6" s="76">
        <v>2650</v>
      </c>
      <c r="X6" s="76">
        <v>2687</v>
      </c>
      <c r="Y6" s="76">
        <v>2781</v>
      </c>
      <c r="Z6" s="76">
        <v>3181</v>
      </c>
    </row>
    <row r="7" spans="1:26">
      <c r="A7" s="3" t="s">
        <v>2</v>
      </c>
      <c r="B7" s="39" t="s">
        <v>8</v>
      </c>
      <c r="C7" s="76">
        <v>69</v>
      </c>
      <c r="D7" s="76">
        <v>71</v>
      </c>
      <c r="E7" s="76">
        <v>75</v>
      </c>
      <c r="F7" s="76">
        <v>89</v>
      </c>
      <c r="G7" s="76">
        <v>98</v>
      </c>
      <c r="H7" s="76">
        <v>101</v>
      </c>
      <c r="I7" s="76">
        <v>100</v>
      </c>
      <c r="J7" s="76">
        <v>100</v>
      </c>
      <c r="K7" s="76">
        <v>107</v>
      </c>
      <c r="L7" s="76">
        <v>110</v>
      </c>
      <c r="M7" s="76">
        <v>111</v>
      </c>
      <c r="N7" s="76">
        <v>118</v>
      </c>
      <c r="O7" s="76">
        <v>112</v>
      </c>
      <c r="P7" s="76">
        <v>110</v>
      </c>
      <c r="Q7" s="76">
        <v>110</v>
      </c>
      <c r="R7" s="76">
        <v>111</v>
      </c>
      <c r="S7" s="76">
        <v>110</v>
      </c>
      <c r="T7" s="76">
        <v>111</v>
      </c>
      <c r="U7" s="76">
        <v>108</v>
      </c>
      <c r="V7" s="76">
        <v>93</v>
      </c>
      <c r="W7" s="76">
        <v>99</v>
      </c>
      <c r="X7" s="76">
        <v>102</v>
      </c>
      <c r="Y7" s="76">
        <v>100</v>
      </c>
      <c r="Z7" s="76">
        <v>86</v>
      </c>
    </row>
    <row r="8" spans="1:26">
      <c r="A8" s="3" t="s">
        <v>3</v>
      </c>
      <c r="B8" s="39" t="s">
        <v>9</v>
      </c>
      <c r="C8" s="76">
        <v>20</v>
      </c>
      <c r="D8" s="76">
        <v>22</v>
      </c>
      <c r="E8" s="76">
        <v>24</v>
      </c>
      <c r="F8" s="76">
        <v>26</v>
      </c>
      <c r="G8" s="76">
        <v>28</v>
      </c>
      <c r="H8" s="76">
        <v>30</v>
      </c>
      <c r="I8" s="76">
        <v>34</v>
      </c>
      <c r="J8" s="76">
        <v>33</v>
      </c>
      <c r="K8" s="76">
        <v>34</v>
      </c>
      <c r="L8" s="76">
        <v>37</v>
      </c>
      <c r="M8" s="76">
        <v>36</v>
      </c>
      <c r="N8" s="76">
        <v>37</v>
      </c>
      <c r="O8" s="76">
        <v>37</v>
      </c>
      <c r="P8" s="76">
        <v>39</v>
      </c>
      <c r="Q8" s="76">
        <v>43</v>
      </c>
      <c r="R8" s="76">
        <v>46</v>
      </c>
      <c r="S8" s="76">
        <v>50</v>
      </c>
      <c r="T8" s="76">
        <v>50</v>
      </c>
      <c r="U8" s="76">
        <v>56</v>
      </c>
      <c r="V8" s="76">
        <v>61</v>
      </c>
      <c r="W8" s="76">
        <v>67</v>
      </c>
      <c r="X8" s="76">
        <v>70</v>
      </c>
      <c r="Y8" s="76">
        <v>77</v>
      </c>
      <c r="Z8" s="76">
        <v>82</v>
      </c>
    </row>
    <row r="9" spans="1:26">
      <c r="A9" s="3" t="s">
        <v>4</v>
      </c>
      <c r="B9" s="39" t="s">
        <v>10</v>
      </c>
      <c r="C9" s="76">
        <v>21</v>
      </c>
      <c r="D9" s="76">
        <v>23</v>
      </c>
      <c r="E9" s="76">
        <v>20</v>
      </c>
      <c r="F9" s="76">
        <v>21</v>
      </c>
      <c r="G9" s="76">
        <v>21</v>
      </c>
      <c r="H9" s="76">
        <v>19</v>
      </c>
      <c r="I9" s="76">
        <v>17</v>
      </c>
      <c r="J9" s="76">
        <v>14</v>
      </c>
      <c r="K9" s="76">
        <v>15</v>
      </c>
      <c r="L9" s="76">
        <v>14</v>
      </c>
      <c r="M9" s="76">
        <v>15</v>
      </c>
      <c r="N9" s="76">
        <v>14</v>
      </c>
      <c r="O9" s="76">
        <v>13</v>
      </c>
      <c r="P9" s="76">
        <v>14</v>
      </c>
      <c r="Q9" s="76">
        <v>14</v>
      </c>
      <c r="R9" s="76">
        <v>14</v>
      </c>
      <c r="S9" s="76">
        <v>14</v>
      </c>
      <c r="T9" s="76">
        <v>13</v>
      </c>
      <c r="U9" s="76">
        <v>13</v>
      </c>
      <c r="V9" s="76">
        <v>12</v>
      </c>
      <c r="W9" s="76">
        <v>11</v>
      </c>
      <c r="X9" s="76">
        <v>11</v>
      </c>
      <c r="Y9" s="76">
        <v>11</v>
      </c>
      <c r="Z9" s="76">
        <v>10</v>
      </c>
    </row>
    <row r="10" spans="1:26">
      <c r="A10" s="3" t="s">
        <v>5</v>
      </c>
      <c r="B10" s="39" t="s">
        <v>11</v>
      </c>
      <c r="C10" s="76">
        <v>345</v>
      </c>
      <c r="D10" s="76">
        <v>359</v>
      </c>
      <c r="E10" s="76">
        <v>366</v>
      </c>
      <c r="F10" s="76">
        <v>363</v>
      </c>
      <c r="G10" s="76">
        <v>343</v>
      </c>
      <c r="H10" s="76">
        <v>331</v>
      </c>
      <c r="I10" s="76">
        <v>393</v>
      </c>
      <c r="J10" s="76">
        <v>376</v>
      </c>
      <c r="K10" s="76">
        <v>355</v>
      </c>
      <c r="L10" s="76">
        <v>372</v>
      </c>
      <c r="M10" s="76">
        <v>369</v>
      </c>
      <c r="N10" s="76">
        <v>393</v>
      </c>
      <c r="O10" s="76">
        <v>443</v>
      </c>
      <c r="P10" s="76">
        <v>450</v>
      </c>
      <c r="Q10" s="76">
        <v>449</v>
      </c>
      <c r="R10" s="76">
        <v>461</v>
      </c>
      <c r="S10" s="76">
        <v>468</v>
      </c>
      <c r="T10" s="76">
        <v>480</v>
      </c>
      <c r="U10" s="76">
        <v>489</v>
      </c>
      <c r="V10" s="76">
        <v>492</v>
      </c>
      <c r="W10" s="76">
        <v>502</v>
      </c>
      <c r="X10" s="76">
        <v>519</v>
      </c>
      <c r="Y10" s="76">
        <v>536</v>
      </c>
      <c r="Z10" s="76">
        <v>481</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s="18" t="s">
        <v>323</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E0389D6C-A4FD-4EF7-89CD-F92BDD95197C}"/>
    <hyperlink ref="B18" r:id="rId2" xr:uid="{638B5D52-BF4D-4FD4-9AC8-8A5D8F097399}"/>
  </hyperlinks>
  <pageMargins left="0.7" right="0.7" top="0.75" bottom="0.75" header="0.3" footer="0.3"/>
  <pageSetup paperSize="9" orientation="portrait"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89A-A1CB-4279-83E7-9D08DC036994}">
  <sheetPr>
    <tabColor theme="5" tint="0.59999389629810485"/>
  </sheetPr>
  <dimension ref="A1:S52"/>
  <sheetViews>
    <sheetView showGridLines="0" zoomScale="70" zoomScaleNormal="70" workbookViewId="0"/>
  </sheetViews>
  <sheetFormatPr defaultRowHeight="15"/>
  <cols>
    <col min="1" max="1" width="15.832031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157</v>
      </c>
    </row>
    <row r="2" spans="1:19" ht="22.5" customHeight="1">
      <c r="A2" s="11" t="s">
        <v>364</v>
      </c>
    </row>
    <row r="3" spans="1:19" ht="41.55" customHeight="1">
      <c r="A3" s="11" t="s">
        <v>64</v>
      </c>
    </row>
    <row r="4" spans="1:19" ht="38.549999999999997" customHeight="1">
      <c r="A4" s="88" t="s">
        <v>65</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154</v>
      </c>
      <c r="K5" s="21" t="s">
        <v>89</v>
      </c>
      <c r="L5" s="21" t="s">
        <v>90</v>
      </c>
      <c r="M5" s="21" t="s">
        <v>91</v>
      </c>
      <c r="N5" s="21" t="s">
        <v>92</v>
      </c>
      <c r="O5" s="21" t="s">
        <v>93</v>
      </c>
      <c r="P5" s="21" t="s">
        <v>94</v>
      </c>
      <c r="Q5" s="21" t="s">
        <v>95</v>
      </c>
      <c r="R5" s="21" t="s">
        <v>96</v>
      </c>
      <c r="S5" s="21" t="s">
        <v>97</v>
      </c>
    </row>
    <row r="6" spans="1:19">
      <c r="A6" s="13" t="s">
        <v>98</v>
      </c>
      <c r="B6" s="15" t="s">
        <v>99</v>
      </c>
      <c r="C6" s="76">
        <v>257564</v>
      </c>
      <c r="D6" s="76">
        <v>106252</v>
      </c>
      <c r="E6" s="76">
        <v>27196</v>
      </c>
      <c r="F6" s="76">
        <v>57412</v>
      </c>
      <c r="G6" s="76">
        <v>19154</v>
      </c>
      <c r="H6" s="76">
        <v>6113</v>
      </c>
      <c r="I6" s="76">
        <v>13105</v>
      </c>
      <c r="J6" s="76">
        <v>19041</v>
      </c>
      <c r="K6" s="76">
        <v>5131</v>
      </c>
      <c r="L6" s="76">
        <v>23866</v>
      </c>
      <c r="M6" s="76">
        <v>9263</v>
      </c>
      <c r="N6" s="76">
        <v>4879</v>
      </c>
      <c r="O6" s="76">
        <v>13918</v>
      </c>
      <c r="P6" s="76">
        <v>3481</v>
      </c>
      <c r="Q6" s="76">
        <v>10437</v>
      </c>
      <c r="R6" s="76">
        <v>226</v>
      </c>
      <c r="S6" s="76">
        <v>9422</v>
      </c>
    </row>
    <row r="7" spans="1:19">
      <c r="A7" s="5" t="s">
        <v>100</v>
      </c>
      <c r="B7" s="16" t="s">
        <v>101</v>
      </c>
      <c r="C7" s="76">
        <v>144114</v>
      </c>
      <c r="D7" s="76">
        <v>103205</v>
      </c>
      <c r="E7" s="76">
        <v>113</v>
      </c>
      <c r="F7" s="76">
        <v>39503</v>
      </c>
      <c r="G7" s="76">
        <v>17033</v>
      </c>
      <c r="H7" s="76">
        <v>4654</v>
      </c>
      <c r="I7" s="76">
        <v>1606</v>
      </c>
      <c r="J7" s="76">
        <v>16210</v>
      </c>
      <c r="K7" s="76">
        <v>576</v>
      </c>
      <c r="L7" s="76">
        <v>383</v>
      </c>
      <c r="M7" s="76">
        <v>0</v>
      </c>
      <c r="N7" s="76">
        <v>0</v>
      </c>
      <c r="O7" s="76">
        <v>335</v>
      </c>
      <c r="P7" s="76">
        <v>0</v>
      </c>
      <c r="Q7" s="76">
        <v>335</v>
      </c>
      <c r="R7" s="76">
        <v>0</v>
      </c>
      <c r="S7" s="76">
        <v>0</v>
      </c>
    </row>
    <row r="8" spans="1:19">
      <c r="A8" s="5" t="s">
        <v>102</v>
      </c>
      <c r="B8" s="16" t="s">
        <v>103</v>
      </c>
      <c r="C8" s="76">
        <v>62022</v>
      </c>
      <c r="D8" s="76">
        <v>61910</v>
      </c>
      <c r="E8" s="76">
        <v>113</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10689</v>
      </c>
      <c r="D9" s="76">
        <v>10337</v>
      </c>
      <c r="E9" s="76">
        <v>0</v>
      </c>
      <c r="F9" s="76">
        <v>352</v>
      </c>
      <c r="G9" s="76">
        <v>0</v>
      </c>
      <c r="H9" s="76">
        <v>0</v>
      </c>
      <c r="I9" s="76">
        <v>0</v>
      </c>
      <c r="J9" s="76">
        <v>352</v>
      </c>
      <c r="K9" s="76">
        <v>0</v>
      </c>
      <c r="L9" s="76">
        <v>0</v>
      </c>
      <c r="M9" s="76">
        <v>0</v>
      </c>
      <c r="N9" s="76">
        <v>0</v>
      </c>
      <c r="O9" s="76">
        <v>0</v>
      </c>
      <c r="P9" s="76">
        <v>0</v>
      </c>
      <c r="Q9" s="76">
        <v>0</v>
      </c>
      <c r="R9" s="76">
        <v>0</v>
      </c>
      <c r="S9" s="76">
        <v>0</v>
      </c>
    </row>
    <row r="10" spans="1:19">
      <c r="A10" s="5" t="s">
        <v>106</v>
      </c>
      <c r="B10" s="16" t="s">
        <v>107</v>
      </c>
      <c r="C10" s="76">
        <v>64220</v>
      </c>
      <c r="D10" s="76">
        <v>30958</v>
      </c>
      <c r="E10" s="76">
        <v>0</v>
      </c>
      <c r="F10" s="76">
        <v>31989</v>
      </c>
      <c r="G10" s="76">
        <v>16187</v>
      </c>
      <c r="H10" s="76">
        <v>4635</v>
      </c>
      <c r="I10" s="76">
        <v>0</v>
      </c>
      <c r="J10" s="76">
        <v>11166</v>
      </c>
      <c r="K10" s="76">
        <v>576</v>
      </c>
      <c r="L10" s="76">
        <v>383</v>
      </c>
      <c r="M10" s="76">
        <v>0</v>
      </c>
      <c r="N10" s="76">
        <v>0</v>
      </c>
      <c r="O10" s="76">
        <v>315</v>
      </c>
      <c r="P10" s="76">
        <v>0</v>
      </c>
      <c r="Q10" s="76">
        <v>315</v>
      </c>
      <c r="R10" s="76">
        <v>0</v>
      </c>
      <c r="S10" s="76">
        <v>0</v>
      </c>
    </row>
    <row r="11" spans="1:19">
      <c r="A11" s="5" t="s">
        <v>108</v>
      </c>
      <c r="B11" s="16" t="s">
        <v>109</v>
      </c>
      <c r="C11" s="76">
        <v>61912</v>
      </c>
      <c r="D11" s="76">
        <v>29883</v>
      </c>
      <c r="E11" s="76">
        <v>0</v>
      </c>
      <c r="F11" s="76">
        <v>30756</v>
      </c>
      <c r="G11" s="76">
        <v>16187</v>
      </c>
      <c r="H11" s="76">
        <v>4635</v>
      </c>
      <c r="I11" s="76">
        <v>0</v>
      </c>
      <c r="J11" s="76">
        <v>9934</v>
      </c>
      <c r="K11" s="76">
        <v>576</v>
      </c>
      <c r="L11" s="76">
        <v>383</v>
      </c>
      <c r="M11" s="76">
        <v>0</v>
      </c>
      <c r="N11" s="76">
        <v>0</v>
      </c>
      <c r="O11" s="76">
        <v>315</v>
      </c>
      <c r="P11" s="76">
        <v>0</v>
      </c>
      <c r="Q11" s="76">
        <v>315</v>
      </c>
      <c r="R11" s="76">
        <v>0</v>
      </c>
      <c r="S11" s="76">
        <v>0</v>
      </c>
    </row>
    <row r="12" spans="1:19">
      <c r="A12" s="5" t="s">
        <v>110</v>
      </c>
      <c r="B12" s="16" t="s">
        <v>111</v>
      </c>
      <c r="C12" s="76">
        <v>22432</v>
      </c>
      <c r="D12" s="76">
        <v>3961</v>
      </c>
      <c r="E12" s="76">
        <v>0</v>
      </c>
      <c r="F12" s="76">
        <v>17784</v>
      </c>
      <c r="G12" s="76">
        <v>16187</v>
      </c>
      <c r="H12" s="76">
        <v>0</v>
      </c>
      <c r="I12" s="76">
        <v>0</v>
      </c>
      <c r="J12" s="76">
        <v>1597</v>
      </c>
      <c r="K12" s="76">
        <v>576</v>
      </c>
      <c r="L12" s="76">
        <v>0</v>
      </c>
      <c r="M12" s="76">
        <v>0</v>
      </c>
      <c r="N12" s="76">
        <v>0</v>
      </c>
      <c r="O12" s="76">
        <v>112</v>
      </c>
      <c r="P12" s="76">
        <v>0</v>
      </c>
      <c r="Q12" s="76">
        <v>112</v>
      </c>
      <c r="R12" s="76">
        <v>0</v>
      </c>
      <c r="S12" s="76">
        <v>0</v>
      </c>
    </row>
    <row r="13" spans="1:19">
      <c r="A13" s="5" t="s">
        <v>112</v>
      </c>
      <c r="B13" s="16" t="s">
        <v>113</v>
      </c>
      <c r="C13" s="76">
        <v>5414</v>
      </c>
      <c r="D13" s="76">
        <v>455</v>
      </c>
      <c r="E13" s="76">
        <v>0</v>
      </c>
      <c r="F13" s="76">
        <v>4959</v>
      </c>
      <c r="G13" s="76">
        <v>0</v>
      </c>
      <c r="H13" s="76">
        <v>4635</v>
      </c>
      <c r="I13" s="76">
        <v>0</v>
      </c>
      <c r="J13" s="76">
        <v>324</v>
      </c>
      <c r="K13" s="76">
        <v>0</v>
      </c>
      <c r="L13" s="76">
        <v>0</v>
      </c>
      <c r="M13" s="76">
        <v>0</v>
      </c>
      <c r="N13" s="76">
        <v>0</v>
      </c>
      <c r="O13" s="76">
        <v>0</v>
      </c>
      <c r="P13" s="76">
        <v>0</v>
      </c>
      <c r="Q13" s="76">
        <v>0</v>
      </c>
      <c r="R13" s="76">
        <v>0</v>
      </c>
      <c r="S13" s="76">
        <v>0</v>
      </c>
    </row>
    <row r="14" spans="1:19">
      <c r="A14" s="5" t="s">
        <v>114</v>
      </c>
      <c r="B14" s="16" t="s">
        <v>115</v>
      </c>
      <c r="C14" s="76">
        <v>27283</v>
      </c>
      <c r="D14" s="76">
        <v>21248</v>
      </c>
      <c r="E14" s="76">
        <v>0</v>
      </c>
      <c r="F14" s="76">
        <v>5889</v>
      </c>
      <c r="G14" s="76">
        <v>0</v>
      </c>
      <c r="H14" s="76">
        <v>0</v>
      </c>
      <c r="I14" s="76">
        <v>0</v>
      </c>
      <c r="J14" s="76">
        <v>5889</v>
      </c>
      <c r="K14" s="76">
        <v>0</v>
      </c>
      <c r="L14" s="76">
        <v>0</v>
      </c>
      <c r="M14" s="76">
        <v>0</v>
      </c>
      <c r="N14" s="76">
        <v>0</v>
      </c>
      <c r="O14" s="76">
        <v>146</v>
      </c>
      <c r="P14" s="76">
        <v>0</v>
      </c>
      <c r="Q14" s="76">
        <v>146</v>
      </c>
      <c r="R14" s="76">
        <v>0</v>
      </c>
      <c r="S14" s="76">
        <v>0</v>
      </c>
    </row>
    <row r="15" spans="1:19">
      <c r="A15" s="5" t="s">
        <v>116</v>
      </c>
      <c r="B15" s="16" t="s">
        <v>117</v>
      </c>
      <c r="C15" s="76">
        <v>6782</v>
      </c>
      <c r="D15" s="76">
        <v>4219</v>
      </c>
      <c r="E15" s="76">
        <v>0</v>
      </c>
      <c r="F15" s="76">
        <v>2124</v>
      </c>
      <c r="G15" s="76">
        <v>0</v>
      </c>
      <c r="H15" s="76">
        <v>0</v>
      </c>
      <c r="I15" s="76">
        <v>0</v>
      </c>
      <c r="J15" s="76">
        <v>2124</v>
      </c>
      <c r="K15" s="76">
        <v>0</v>
      </c>
      <c r="L15" s="76">
        <v>383</v>
      </c>
      <c r="M15" s="76">
        <v>0</v>
      </c>
      <c r="N15" s="76">
        <v>0</v>
      </c>
      <c r="O15" s="76">
        <v>57</v>
      </c>
      <c r="P15" s="76">
        <v>0</v>
      </c>
      <c r="Q15" s="76">
        <v>57</v>
      </c>
      <c r="R15" s="76">
        <v>0</v>
      </c>
      <c r="S15" s="76">
        <v>0</v>
      </c>
    </row>
    <row r="16" spans="1:19">
      <c r="A16" s="5" t="s">
        <v>118</v>
      </c>
      <c r="B16" s="16" t="s">
        <v>119</v>
      </c>
      <c r="C16" s="76">
        <v>2308</v>
      </c>
      <c r="D16" s="76">
        <v>1075</v>
      </c>
      <c r="E16" s="76">
        <v>0</v>
      </c>
      <c r="F16" s="76">
        <v>1233</v>
      </c>
      <c r="G16" s="76">
        <v>0</v>
      </c>
      <c r="H16" s="76">
        <v>0</v>
      </c>
      <c r="I16" s="76">
        <v>0</v>
      </c>
      <c r="J16" s="76">
        <v>1233</v>
      </c>
      <c r="K16" s="76">
        <v>0</v>
      </c>
      <c r="L16" s="76">
        <v>0</v>
      </c>
      <c r="M16" s="76">
        <v>0</v>
      </c>
      <c r="N16" s="76">
        <v>0</v>
      </c>
      <c r="O16" s="76">
        <v>0</v>
      </c>
      <c r="P16" s="76">
        <v>0</v>
      </c>
      <c r="Q16" s="76">
        <v>0</v>
      </c>
      <c r="R16" s="76">
        <v>0</v>
      </c>
      <c r="S16" s="76">
        <v>0</v>
      </c>
    </row>
    <row r="17" spans="1:19">
      <c r="A17" s="5" t="s">
        <v>120</v>
      </c>
      <c r="B17" s="16" t="s">
        <v>121</v>
      </c>
      <c r="C17" s="76">
        <v>7182</v>
      </c>
      <c r="D17" s="76">
        <v>0</v>
      </c>
      <c r="E17" s="76">
        <v>0</v>
      </c>
      <c r="F17" s="76">
        <v>7161</v>
      </c>
      <c r="G17" s="76">
        <v>846</v>
      </c>
      <c r="H17" s="76">
        <v>19</v>
      </c>
      <c r="I17" s="76">
        <v>1606</v>
      </c>
      <c r="J17" s="76">
        <v>4691</v>
      </c>
      <c r="K17" s="76">
        <v>0</v>
      </c>
      <c r="L17" s="76">
        <v>0</v>
      </c>
      <c r="M17" s="76">
        <v>0</v>
      </c>
      <c r="N17" s="76">
        <v>0</v>
      </c>
      <c r="O17" s="76">
        <v>20</v>
      </c>
      <c r="P17" s="76">
        <v>0</v>
      </c>
      <c r="Q17" s="76">
        <v>20</v>
      </c>
      <c r="R17" s="76">
        <v>0</v>
      </c>
      <c r="S17" s="76">
        <v>0</v>
      </c>
    </row>
    <row r="18" spans="1:19">
      <c r="A18" s="5" t="s">
        <v>122</v>
      </c>
      <c r="B18" s="16" t="s">
        <v>123</v>
      </c>
      <c r="C18" s="76">
        <v>6110</v>
      </c>
      <c r="D18" s="76">
        <v>0</v>
      </c>
      <c r="E18" s="76">
        <v>0</v>
      </c>
      <c r="F18" s="76">
        <v>6089</v>
      </c>
      <c r="G18" s="76">
        <v>846</v>
      </c>
      <c r="H18" s="76">
        <v>19</v>
      </c>
      <c r="I18" s="76">
        <v>1606</v>
      </c>
      <c r="J18" s="76">
        <v>3619</v>
      </c>
      <c r="K18" s="76">
        <v>0</v>
      </c>
      <c r="L18" s="76">
        <v>0</v>
      </c>
      <c r="M18" s="76">
        <v>0</v>
      </c>
      <c r="N18" s="76">
        <v>0</v>
      </c>
      <c r="O18" s="76">
        <v>20</v>
      </c>
      <c r="P18" s="76">
        <v>0</v>
      </c>
      <c r="Q18" s="76">
        <v>20</v>
      </c>
      <c r="R18" s="76">
        <v>0</v>
      </c>
      <c r="S18" s="76">
        <v>0</v>
      </c>
    </row>
    <row r="19" spans="1:19">
      <c r="A19" s="5" t="s">
        <v>124</v>
      </c>
      <c r="B19" s="16" t="s">
        <v>125</v>
      </c>
      <c r="C19" s="76">
        <v>1072</v>
      </c>
      <c r="D19" s="76">
        <v>0</v>
      </c>
      <c r="E19" s="76">
        <v>0</v>
      </c>
      <c r="F19" s="76">
        <v>1072</v>
      </c>
      <c r="G19" s="76">
        <v>0</v>
      </c>
      <c r="H19" s="76">
        <v>0</v>
      </c>
      <c r="I19" s="76">
        <v>0</v>
      </c>
      <c r="J19" s="76">
        <v>1072</v>
      </c>
      <c r="K19" s="76">
        <v>0</v>
      </c>
      <c r="L19" s="76">
        <v>0</v>
      </c>
      <c r="M19" s="76">
        <v>0</v>
      </c>
      <c r="N19" s="76">
        <v>0</v>
      </c>
      <c r="O19" s="76">
        <v>0</v>
      </c>
      <c r="P19" s="76">
        <v>0</v>
      </c>
      <c r="Q19" s="76">
        <v>0</v>
      </c>
      <c r="R19" s="76">
        <v>0</v>
      </c>
      <c r="S19" s="76">
        <v>0</v>
      </c>
    </row>
    <row r="20" spans="1:19">
      <c r="A20" s="5" t="s">
        <v>342</v>
      </c>
      <c r="B20" s="16" t="s">
        <v>126</v>
      </c>
      <c r="C20" s="76">
        <v>43621</v>
      </c>
      <c r="D20" s="76">
        <v>1228</v>
      </c>
      <c r="E20" s="76">
        <v>27083</v>
      </c>
      <c r="F20" s="76">
        <v>11829</v>
      </c>
      <c r="G20" s="76">
        <v>222</v>
      </c>
      <c r="H20" s="76">
        <v>0</v>
      </c>
      <c r="I20" s="76">
        <v>11499</v>
      </c>
      <c r="J20" s="76">
        <v>108</v>
      </c>
      <c r="K20" s="76">
        <v>0</v>
      </c>
      <c r="L20" s="76">
        <v>0</v>
      </c>
      <c r="M20" s="76">
        <v>0</v>
      </c>
      <c r="N20" s="76">
        <v>0</v>
      </c>
      <c r="O20" s="76">
        <v>3481</v>
      </c>
      <c r="P20" s="76">
        <v>3481</v>
      </c>
      <c r="Q20" s="76">
        <v>0</v>
      </c>
      <c r="R20" s="76">
        <v>0</v>
      </c>
      <c r="S20" s="76">
        <v>0</v>
      </c>
    </row>
    <row r="21" spans="1:19">
      <c r="A21" s="5" t="s">
        <v>343</v>
      </c>
      <c r="B21" s="16" t="s">
        <v>127</v>
      </c>
      <c r="C21" s="76">
        <v>28254</v>
      </c>
      <c r="D21" s="76">
        <v>1171</v>
      </c>
      <c r="E21" s="76">
        <v>27083</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16</v>
      </c>
      <c r="D22" s="76">
        <v>16</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263</v>
      </c>
      <c r="D23" s="76">
        <v>40</v>
      </c>
      <c r="E23" s="76">
        <v>0</v>
      </c>
      <c r="F23" s="76">
        <v>223</v>
      </c>
      <c r="G23" s="76">
        <v>222</v>
      </c>
      <c r="H23" s="76">
        <v>0</v>
      </c>
      <c r="I23" s="76">
        <v>0</v>
      </c>
      <c r="J23" s="76">
        <v>1</v>
      </c>
      <c r="K23" s="76">
        <v>0</v>
      </c>
      <c r="L23" s="76">
        <v>0</v>
      </c>
      <c r="M23" s="76">
        <v>0</v>
      </c>
      <c r="N23" s="76">
        <v>0</v>
      </c>
      <c r="O23" s="76">
        <v>0</v>
      </c>
      <c r="P23" s="76">
        <v>0</v>
      </c>
      <c r="Q23" s="76">
        <v>0</v>
      </c>
      <c r="R23" s="76">
        <v>0</v>
      </c>
      <c r="S23" s="76">
        <v>0</v>
      </c>
    </row>
    <row r="24" spans="1:19">
      <c r="A24" s="5" t="s">
        <v>346</v>
      </c>
      <c r="B24" s="16" t="s">
        <v>130</v>
      </c>
      <c r="C24" s="76">
        <v>15087</v>
      </c>
      <c r="D24" s="76">
        <v>0</v>
      </c>
      <c r="E24" s="76">
        <v>0</v>
      </c>
      <c r="F24" s="76">
        <v>11606</v>
      </c>
      <c r="G24" s="76">
        <v>0</v>
      </c>
      <c r="H24" s="76">
        <v>0</v>
      </c>
      <c r="I24" s="76">
        <v>11499</v>
      </c>
      <c r="J24" s="76">
        <v>107</v>
      </c>
      <c r="K24" s="76">
        <v>0</v>
      </c>
      <c r="L24" s="76">
        <v>0</v>
      </c>
      <c r="M24" s="76">
        <v>0</v>
      </c>
      <c r="N24" s="76">
        <v>0</v>
      </c>
      <c r="O24" s="76">
        <v>3481</v>
      </c>
      <c r="P24" s="76">
        <v>3481</v>
      </c>
      <c r="Q24" s="76">
        <v>0</v>
      </c>
      <c r="R24" s="76">
        <v>0</v>
      </c>
      <c r="S24" s="76">
        <v>0</v>
      </c>
    </row>
    <row r="25" spans="1:19">
      <c r="A25" s="5" t="s">
        <v>347</v>
      </c>
      <c r="B25" s="16" t="s">
        <v>131</v>
      </c>
      <c r="C25" s="76">
        <v>5194</v>
      </c>
      <c r="D25" s="76">
        <v>535</v>
      </c>
      <c r="E25" s="76">
        <v>0</v>
      </c>
      <c r="F25" s="76">
        <v>0</v>
      </c>
      <c r="G25" s="76">
        <v>0</v>
      </c>
      <c r="H25" s="76">
        <v>0</v>
      </c>
      <c r="I25" s="76">
        <v>0</v>
      </c>
      <c r="J25" s="76">
        <v>0</v>
      </c>
      <c r="K25" s="76">
        <v>4555</v>
      </c>
      <c r="L25" s="76">
        <v>0</v>
      </c>
      <c r="M25" s="76">
        <v>0</v>
      </c>
      <c r="N25" s="76">
        <v>0</v>
      </c>
      <c r="O25" s="76">
        <v>104</v>
      </c>
      <c r="P25" s="76">
        <v>0</v>
      </c>
      <c r="Q25" s="76">
        <v>104</v>
      </c>
      <c r="R25" s="76">
        <v>0</v>
      </c>
      <c r="S25" s="76">
        <v>0</v>
      </c>
    </row>
    <row r="26" spans="1:19">
      <c r="A26" s="5" t="s">
        <v>348</v>
      </c>
      <c r="B26" s="16" t="s">
        <v>132</v>
      </c>
      <c r="C26" s="76">
        <v>34305</v>
      </c>
      <c r="D26" s="76">
        <v>0</v>
      </c>
      <c r="E26" s="76">
        <v>0</v>
      </c>
      <c r="F26" s="76">
        <v>1076</v>
      </c>
      <c r="G26" s="76">
        <v>1076</v>
      </c>
      <c r="H26" s="76">
        <v>0</v>
      </c>
      <c r="I26" s="76">
        <v>0</v>
      </c>
      <c r="J26" s="76">
        <v>0</v>
      </c>
      <c r="K26" s="76">
        <v>0</v>
      </c>
      <c r="L26" s="76">
        <v>23483</v>
      </c>
      <c r="M26" s="76">
        <v>0</v>
      </c>
      <c r="N26" s="76">
        <v>0</v>
      </c>
      <c r="O26" s="76">
        <v>9745</v>
      </c>
      <c r="P26" s="76">
        <v>0</v>
      </c>
      <c r="Q26" s="76">
        <v>9745</v>
      </c>
      <c r="R26" s="76">
        <v>0</v>
      </c>
      <c r="S26" s="76">
        <v>0</v>
      </c>
    </row>
    <row r="27" spans="1:19">
      <c r="A27" s="5" t="s">
        <v>349</v>
      </c>
      <c r="B27" s="16" t="s">
        <v>133</v>
      </c>
      <c r="C27" s="76">
        <v>30287</v>
      </c>
      <c r="D27" s="76">
        <v>0</v>
      </c>
      <c r="E27" s="76">
        <v>0</v>
      </c>
      <c r="F27" s="76">
        <v>1076</v>
      </c>
      <c r="G27" s="76">
        <v>1076</v>
      </c>
      <c r="H27" s="76">
        <v>0</v>
      </c>
      <c r="I27" s="76">
        <v>0</v>
      </c>
      <c r="J27" s="76">
        <v>0</v>
      </c>
      <c r="K27" s="76">
        <v>0</v>
      </c>
      <c r="L27" s="76">
        <v>19863</v>
      </c>
      <c r="M27" s="76">
        <v>0</v>
      </c>
      <c r="N27" s="76">
        <v>0</v>
      </c>
      <c r="O27" s="76">
        <v>9348</v>
      </c>
      <c r="P27" s="76">
        <v>0</v>
      </c>
      <c r="Q27" s="76">
        <v>9348</v>
      </c>
      <c r="R27" s="76">
        <v>0</v>
      </c>
      <c r="S27" s="76">
        <v>0</v>
      </c>
    </row>
    <row r="28" spans="1:19">
      <c r="A28" s="5" t="s">
        <v>350</v>
      </c>
      <c r="B28" s="16" t="s">
        <v>134</v>
      </c>
      <c r="C28" s="76">
        <v>16174</v>
      </c>
      <c r="D28" s="76">
        <v>0</v>
      </c>
      <c r="E28" s="76">
        <v>0</v>
      </c>
      <c r="F28" s="76">
        <v>958</v>
      </c>
      <c r="G28" s="76">
        <v>958</v>
      </c>
      <c r="H28" s="76">
        <v>0</v>
      </c>
      <c r="I28" s="76">
        <v>0</v>
      </c>
      <c r="J28" s="76">
        <v>0</v>
      </c>
      <c r="K28" s="76">
        <v>0</v>
      </c>
      <c r="L28" s="76">
        <v>15215</v>
      </c>
      <c r="M28" s="76">
        <v>0</v>
      </c>
      <c r="N28" s="76">
        <v>0</v>
      </c>
      <c r="O28" s="76">
        <v>0</v>
      </c>
      <c r="P28" s="76">
        <v>0</v>
      </c>
      <c r="Q28" s="76">
        <v>0</v>
      </c>
      <c r="R28" s="76">
        <v>0</v>
      </c>
      <c r="S28" s="76">
        <v>0</v>
      </c>
    </row>
    <row r="29" spans="1:19">
      <c r="A29" s="5" t="s">
        <v>351</v>
      </c>
      <c r="B29" s="16" t="s">
        <v>135</v>
      </c>
      <c r="C29" s="76">
        <v>11524</v>
      </c>
      <c r="D29" s="76">
        <v>0</v>
      </c>
      <c r="E29" s="76">
        <v>0</v>
      </c>
      <c r="F29" s="76">
        <v>0</v>
      </c>
      <c r="G29" s="76">
        <v>0</v>
      </c>
      <c r="H29" s="76">
        <v>0</v>
      </c>
      <c r="I29" s="76">
        <v>0</v>
      </c>
      <c r="J29" s="76">
        <v>0</v>
      </c>
      <c r="K29" s="76">
        <v>0</v>
      </c>
      <c r="L29" s="76">
        <v>2287</v>
      </c>
      <c r="M29" s="76">
        <v>0</v>
      </c>
      <c r="N29" s="76">
        <v>0</v>
      </c>
      <c r="O29" s="76">
        <v>9237</v>
      </c>
      <c r="P29" s="76">
        <v>0</v>
      </c>
      <c r="Q29" s="76">
        <v>9237</v>
      </c>
      <c r="R29" s="76">
        <v>0</v>
      </c>
      <c r="S29" s="76">
        <v>0</v>
      </c>
    </row>
    <row r="30" spans="1:19">
      <c r="A30" s="5" t="s">
        <v>352</v>
      </c>
      <c r="B30" s="16" t="s">
        <v>136</v>
      </c>
      <c r="C30" s="76">
        <v>2590</v>
      </c>
      <c r="D30" s="76">
        <v>0</v>
      </c>
      <c r="E30" s="76">
        <v>0</v>
      </c>
      <c r="F30" s="76">
        <v>118</v>
      </c>
      <c r="G30" s="76">
        <v>118</v>
      </c>
      <c r="H30" s="76">
        <v>0</v>
      </c>
      <c r="I30" s="76">
        <v>0</v>
      </c>
      <c r="J30" s="76">
        <v>0</v>
      </c>
      <c r="K30" s="76">
        <v>0</v>
      </c>
      <c r="L30" s="76">
        <v>2361</v>
      </c>
      <c r="M30" s="76">
        <v>0</v>
      </c>
      <c r="N30" s="76">
        <v>0</v>
      </c>
      <c r="O30" s="76">
        <v>111</v>
      </c>
      <c r="P30" s="76">
        <v>0</v>
      </c>
      <c r="Q30" s="76">
        <v>111</v>
      </c>
      <c r="R30" s="76">
        <v>0</v>
      </c>
      <c r="S30" s="76">
        <v>0</v>
      </c>
    </row>
    <row r="31" spans="1:19">
      <c r="A31" s="5" t="s">
        <v>353</v>
      </c>
      <c r="B31" s="16" t="s">
        <v>137</v>
      </c>
      <c r="C31" s="76">
        <v>4017</v>
      </c>
      <c r="D31" s="76">
        <v>0</v>
      </c>
      <c r="E31" s="76">
        <v>0</v>
      </c>
      <c r="F31" s="76">
        <v>0</v>
      </c>
      <c r="G31" s="76">
        <v>0</v>
      </c>
      <c r="H31" s="76">
        <v>0</v>
      </c>
      <c r="I31" s="76">
        <v>0</v>
      </c>
      <c r="J31" s="76">
        <v>0</v>
      </c>
      <c r="K31" s="76">
        <v>0</v>
      </c>
      <c r="L31" s="76">
        <v>3620</v>
      </c>
      <c r="M31" s="76">
        <v>0</v>
      </c>
      <c r="N31" s="76">
        <v>0</v>
      </c>
      <c r="O31" s="76">
        <v>397</v>
      </c>
      <c r="P31" s="76">
        <v>0</v>
      </c>
      <c r="Q31" s="76">
        <v>397</v>
      </c>
      <c r="R31" s="76">
        <v>0</v>
      </c>
      <c r="S31" s="76">
        <v>0</v>
      </c>
    </row>
    <row r="32" spans="1:19">
      <c r="A32" s="5" t="s">
        <v>354</v>
      </c>
      <c r="B32" s="16" t="s">
        <v>138</v>
      </c>
      <c r="C32" s="76">
        <v>15743</v>
      </c>
      <c r="D32" s="76">
        <v>1284</v>
      </c>
      <c r="E32" s="76">
        <v>0</v>
      </c>
      <c r="F32" s="76">
        <v>5004</v>
      </c>
      <c r="G32" s="76">
        <v>823</v>
      </c>
      <c r="H32" s="76">
        <v>1459</v>
      </c>
      <c r="I32" s="76">
        <v>0</v>
      </c>
      <c r="J32" s="76">
        <v>2723</v>
      </c>
      <c r="K32" s="76">
        <v>0</v>
      </c>
      <c r="L32" s="76">
        <v>0</v>
      </c>
      <c r="M32" s="76">
        <v>9202</v>
      </c>
      <c r="N32" s="76">
        <v>0</v>
      </c>
      <c r="O32" s="76">
        <v>253</v>
      </c>
      <c r="P32" s="76">
        <v>0</v>
      </c>
      <c r="Q32" s="76">
        <v>253</v>
      </c>
      <c r="R32" s="76">
        <v>0</v>
      </c>
      <c r="S32" s="76">
        <v>0</v>
      </c>
    </row>
    <row r="33" spans="1:19">
      <c r="A33" s="5" t="s">
        <v>355</v>
      </c>
      <c r="B33" s="16" t="s">
        <v>139</v>
      </c>
      <c r="C33" s="76">
        <v>3431</v>
      </c>
      <c r="D33" s="76">
        <v>0</v>
      </c>
      <c r="E33" s="76">
        <v>0</v>
      </c>
      <c r="F33" s="76">
        <v>1551</v>
      </c>
      <c r="G33" s="76">
        <v>359</v>
      </c>
      <c r="H33" s="76">
        <v>0</v>
      </c>
      <c r="I33" s="76">
        <v>0</v>
      </c>
      <c r="J33" s="76">
        <v>1192</v>
      </c>
      <c r="K33" s="76">
        <v>0</v>
      </c>
      <c r="L33" s="76">
        <v>0</v>
      </c>
      <c r="M33" s="76">
        <v>1880</v>
      </c>
      <c r="N33" s="76">
        <v>0</v>
      </c>
      <c r="O33" s="76">
        <v>0</v>
      </c>
      <c r="P33" s="76">
        <v>0</v>
      </c>
      <c r="Q33" s="76">
        <v>0</v>
      </c>
      <c r="R33" s="76">
        <v>0</v>
      </c>
      <c r="S33" s="76">
        <v>0</v>
      </c>
    </row>
    <row r="34" spans="1:19">
      <c r="A34" s="5" t="s">
        <v>356</v>
      </c>
      <c r="B34" s="16" t="s">
        <v>140</v>
      </c>
      <c r="C34" s="76">
        <v>1219</v>
      </c>
      <c r="D34" s="76">
        <v>6</v>
      </c>
      <c r="E34" s="76">
        <v>0</v>
      </c>
      <c r="F34" s="76">
        <v>436</v>
      </c>
      <c r="G34" s="76">
        <v>356</v>
      </c>
      <c r="H34" s="76">
        <v>0</v>
      </c>
      <c r="I34" s="76">
        <v>0</v>
      </c>
      <c r="J34" s="76">
        <v>80</v>
      </c>
      <c r="K34" s="76">
        <v>0</v>
      </c>
      <c r="L34" s="76">
        <v>0</v>
      </c>
      <c r="M34" s="76">
        <v>777</v>
      </c>
      <c r="N34" s="76">
        <v>0</v>
      </c>
      <c r="O34" s="76">
        <v>0</v>
      </c>
      <c r="P34" s="76">
        <v>0</v>
      </c>
      <c r="Q34" s="76">
        <v>0</v>
      </c>
      <c r="R34" s="76">
        <v>0</v>
      </c>
      <c r="S34" s="76">
        <v>0</v>
      </c>
    </row>
    <row r="35" spans="1:19">
      <c r="A35" s="5" t="s">
        <v>357</v>
      </c>
      <c r="B35" s="16" t="s">
        <v>141</v>
      </c>
      <c r="C35" s="76">
        <v>4392</v>
      </c>
      <c r="D35" s="76">
        <v>610</v>
      </c>
      <c r="E35" s="76">
        <v>0</v>
      </c>
      <c r="F35" s="76">
        <v>118</v>
      </c>
      <c r="G35" s="76">
        <v>79</v>
      </c>
      <c r="H35" s="76">
        <v>0</v>
      </c>
      <c r="I35" s="76">
        <v>0</v>
      </c>
      <c r="J35" s="76">
        <v>39</v>
      </c>
      <c r="K35" s="76">
        <v>0</v>
      </c>
      <c r="L35" s="76">
        <v>0</v>
      </c>
      <c r="M35" s="76">
        <v>3664</v>
      </c>
      <c r="N35" s="76">
        <v>0</v>
      </c>
      <c r="O35" s="76">
        <v>0</v>
      </c>
      <c r="P35" s="76">
        <v>0</v>
      </c>
      <c r="Q35" s="76">
        <v>0</v>
      </c>
      <c r="R35" s="76">
        <v>0</v>
      </c>
      <c r="S35" s="76">
        <v>0</v>
      </c>
    </row>
    <row r="36" spans="1:19">
      <c r="A36" s="5" t="s">
        <v>358</v>
      </c>
      <c r="B36" s="16" t="s">
        <v>142</v>
      </c>
      <c r="C36" s="76">
        <v>4373</v>
      </c>
      <c r="D36" s="76">
        <v>668</v>
      </c>
      <c r="E36" s="76">
        <v>0</v>
      </c>
      <c r="F36" s="76">
        <v>2899</v>
      </c>
      <c r="G36" s="76">
        <v>28</v>
      </c>
      <c r="H36" s="76">
        <v>1459</v>
      </c>
      <c r="I36" s="76">
        <v>0</v>
      </c>
      <c r="J36" s="76">
        <v>1412</v>
      </c>
      <c r="K36" s="76">
        <v>0</v>
      </c>
      <c r="L36" s="76">
        <v>0</v>
      </c>
      <c r="M36" s="76">
        <v>553</v>
      </c>
      <c r="N36" s="76">
        <v>0</v>
      </c>
      <c r="O36" s="76">
        <v>253</v>
      </c>
      <c r="P36" s="76">
        <v>0</v>
      </c>
      <c r="Q36" s="76">
        <v>253</v>
      </c>
      <c r="R36" s="76">
        <v>0</v>
      </c>
      <c r="S36" s="76">
        <v>0</v>
      </c>
    </row>
    <row r="37" spans="1:19">
      <c r="A37" s="5" t="s">
        <v>359</v>
      </c>
      <c r="B37" s="16" t="s">
        <v>143</v>
      </c>
      <c r="C37" s="76">
        <v>2328</v>
      </c>
      <c r="D37" s="76">
        <v>0</v>
      </c>
      <c r="E37" s="76">
        <v>0</v>
      </c>
      <c r="F37" s="76">
        <v>0</v>
      </c>
      <c r="G37" s="76">
        <v>0</v>
      </c>
      <c r="H37" s="76">
        <v>0</v>
      </c>
      <c r="I37" s="76">
        <v>0</v>
      </c>
      <c r="J37" s="76">
        <v>0</v>
      </c>
      <c r="K37" s="76">
        <v>0</v>
      </c>
      <c r="L37" s="76">
        <v>0</v>
      </c>
      <c r="M37" s="76">
        <v>2328</v>
      </c>
      <c r="N37" s="76">
        <v>0</v>
      </c>
      <c r="O37" s="76">
        <v>0</v>
      </c>
      <c r="P37" s="76">
        <v>0</v>
      </c>
      <c r="Q37" s="76">
        <v>0</v>
      </c>
      <c r="R37" s="76">
        <v>0</v>
      </c>
      <c r="S37" s="76">
        <v>0</v>
      </c>
    </row>
    <row r="38" spans="1:19">
      <c r="A38" s="5" t="s">
        <v>360</v>
      </c>
      <c r="B38" s="16" t="s">
        <v>144</v>
      </c>
      <c r="C38" s="76">
        <v>4960</v>
      </c>
      <c r="D38" s="76">
        <v>0</v>
      </c>
      <c r="E38" s="76">
        <v>0</v>
      </c>
      <c r="F38" s="76">
        <v>0</v>
      </c>
      <c r="G38" s="76">
        <v>0</v>
      </c>
      <c r="H38" s="76">
        <v>0</v>
      </c>
      <c r="I38" s="76">
        <v>0</v>
      </c>
      <c r="J38" s="76">
        <v>0</v>
      </c>
      <c r="K38" s="76">
        <v>0</v>
      </c>
      <c r="L38" s="76">
        <v>0</v>
      </c>
      <c r="M38" s="76">
        <v>61</v>
      </c>
      <c r="N38" s="76">
        <v>4879</v>
      </c>
      <c r="O38" s="76">
        <v>0</v>
      </c>
      <c r="P38" s="76">
        <v>0</v>
      </c>
      <c r="Q38" s="76">
        <v>0</v>
      </c>
      <c r="R38" s="76">
        <v>19</v>
      </c>
      <c r="S38" s="76">
        <v>0</v>
      </c>
    </row>
    <row r="39" spans="1:19">
      <c r="A39" s="5" t="s">
        <v>361</v>
      </c>
      <c r="B39" s="16" t="s">
        <v>145</v>
      </c>
      <c r="C39" s="76">
        <v>2871</v>
      </c>
      <c r="D39" s="76">
        <v>0</v>
      </c>
      <c r="E39" s="76">
        <v>0</v>
      </c>
      <c r="F39" s="76">
        <v>0</v>
      </c>
      <c r="G39" s="76">
        <v>0</v>
      </c>
      <c r="H39" s="76">
        <v>0</v>
      </c>
      <c r="I39" s="76">
        <v>0</v>
      </c>
      <c r="J39" s="76">
        <v>0</v>
      </c>
      <c r="K39" s="76">
        <v>0</v>
      </c>
      <c r="L39" s="76">
        <v>0</v>
      </c>
      <c r="M39" s="76">
        <v>61</v>
      </c>
      <c r="N39" s="76">
        <v>2791</v>
      </c>
      <c r="O39" s="76">
        <v>0</v>
      </c>
      <c r="P39" s="76">
        <v>0</v>
      </c>
      <c r="Q39" s="76">
        <v>0</v>
      </c>
      <c r="R39" s="76">
        <v>19</v>
      </c>
      <c r="S39" s="76">
        <v>0</v>
      </c>
    </row>
    <row r="40" spans="1:19">
      <c r="A40" s="5" t="s">
        <v>362</v>
      </c>
      <c r="B40" s="16" t="s">
        <v>146</v>
      </c>
      <c r="C40" s="76">
        <v>2089</v>
      </c>
      <c r="D40" s="76">
        <v>0</v>
      </c>
      <c r="E40" s="76">
        <v>0</v>
      </c>
      <c r="F40" s="76">
        <v>0</v>
      </c>
      <c r="G40" s="76">
        <v>0</v>
      </c>
      <c r="H40" s="76">
        <v>0</v>
      </c>
      <c r="I40" s="76">
        <v>0</v>
      </c>
      <c r="J40" s="76">
        <v>0</v>
      </c>
      <c r="K40" s="76">
        <v>0</v>
      </c>
      <c r="L40" s="76">
        <v>0</v>
      </c>
      <c r="M40" s="76">
        <v>0</v>
      </c>
      <c r="N40" s="76">
        <v>2089</v>
      </c>
      <c r="O40" s="76">
        <v>0</v>
      </c>
      <c r="P40" s="76">
        <v>0</v>
      </c>
      <c r="Q40" s="76">
        <v>0</v>
      </c>
      <c r="R40" s="76">
        <v>0</v>
      </c>
      <c r="S40" s="76">
        <v>0</v>
      </c>
    </row>
    <row r="41" spans="1:19">
      <c r="A41" s="5" t="s">
        <v>363</v>
      </c>
      <c r="B41" s="16" t="s">
        <v>97</v>
      </c>
      <c r="C41" s="76">
        <v>9629</v>
      </c>
      <c r="D41" s="76">
        <v>0</v>
      </c>
      <c r="E41" s="76">
        <v>0</v>
      </c>
      <c r="F41" s="76">
        <v>0</v>
      </c>
      <c r="G41" s="76">
        <v>0</v>
      </c>
      <c r="H41" s="76">
        <v>0</v>
      </c>
      <c r="I41" s="76">
        <v>0</v>
      </c>
      <c r="J41" s="76">
        <v>0</v>
      </c>
      <c r="K41" s="76">
        <v>0</v>
      </c>
      <c r="L41" s="76">
        <v>0</v>
      </c>
      <c r="M41" s="76">
        <v>0</v>
      </c>
      <c r="N41" s="76">
        <v>0</v>
      </c>
      <c r="O41" s="76">
        <v>0</v>
      </c>
      <c r="P41" s="76">
        <v>0</v>
      </c>
      <c r="Q41" s="76">
        <v>0</v>
      </c>
      <c r="R41" s="76">
        <v>207</v>
      </c>
      <c r="S41" s="76">
        <v>9422</v>
      </c>
    </row>
    <row r="42" spans="1:19">
      <c r="A42" t="s">
        <v>152</v>
      </c>
      <c r="C42" s="76"/>
    </row>
    <row r="43" spans="1:19" ht="32.549999999999997" customHeight="1">
      <c r="A43" s="1" t="s">
        <v>38</v>
      </c>
    </row>
    <row r="44" spans="1:19">
      <c r="A44" t="s">
        <v>51</v>
      </c>
      <c r="B44" s="18" t="s">
        <v>148</v>
      </c>
    </row>
    <row r="45" spans="1:19">
      <c r="A45" t="s">
        <v>52</v>
      </c>
      <c r="B45" s="18" t="s">
        <v>149</v>
      </c>
    </row>
    <row r="46" spans="1:19">
      <c r="A46" t="s">
        <v>53</v>
      </c>
      <c r="B46" s="18" t="s">
        <v>150</v>
      </c>
    </row>
    <row r="47" spans="1:19">
      <c r="A47" t="s">
        <v>328</v>
      </c>
      <c r="B47" s="19" t="s">
        <v>41</v>
      </c>
    </row>
    <row r="48" spans="1:19">
      <c r="A48" t="s">
        <v>54</v>
      </c>
      <c r="B48" s="18" t="s">
        <v>42</v>
      </c>
    </row>
    <row r="49" spans="1:2">
      <c r="A49" t="s">
        <v>55</v>
      </c>
      <c r="B49" s="18" t="s">
        <v>43</v>
      </c>
    </row>
    <row r="50" spans="1:2">
      <c r="A50" t="s">
        <v>330</v>
      </c>
      <c r="B50" s="19" t="s">
        <v>44</v>
      </c>
    </row>
    <row r="51" spans="1:2">
      <c r="A51" t="s">
        <v>56</v>
      </c>
      <c r="B51" s="18" t="s">
        <v>151</v>
      </c>
    </row>
    <row r="52" spans="1:2">
      <c r="A52" t="s">
        <v>57</v>
      </c>
      <c r="B52" s="18" t="s">
        <v>50</v>
      </c>
    </row>
  </sheetData>
  <phoneticPr fontId="9" type="noConversion"/>
  <hyperlinks>
    <hyperlink ref="B50" r:id="rId1" xr:uid="{9A4E737D-C0B7-42D2-BE15-7CC3C6B4A5BB}"/>
    <hyperlink ref="B47" r:id="rId2" display="https://www.ons.gov.uk/peoplepopulationandcommunity/healthandsocialcare/healthcaresystem/methodologies/introductiontohealthaccounts" xr:uid="{908AA500-DBB7-441F-B561-ABD94632AD8F}"/>
  </hyperlinks>
  <pageMargins left="0.7" right="0.7" top="0.75" bottom="0.75" header="0.3" footer="0.3"/>
  <pageSetup paperSize="9" orientation="portrait" r:id="rId3"/>
  <tableParts count="1">
    <tablePart r:id="rId4"/>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AF6AE-18E4-4A23-9950-C54C82111DB6}">
  <sheetPr>
    <tabColor theme="5" tint="0.59999389629810485"/>
  </sheetPr>
  <dimension ref="A1:S53"/>
  <sheetViews>
    <sheetView showGridLines="0" zoomScale="70" zoomScaleNormal="70" workbookViewId="0"/>
  </sheetViews>
  <sheetFormatPr defaultRowHeight="15"/>
  <cols>
    <col min="1" max="1" width="15.832031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365</v>
      </c>
    </row>
    <row r="2" spans="1:19" ht="22.5" customHeight="1">
      <c r="A2" s="11" t="s">
        <v>364</v>
      </c>
    </row>
    <row r="3" spans="1:19" ht="41" customHeight="1">
      <c r="A3" s="11" t="s">
        <v>64</v>
      </c>
    </row>
    <row r="4" spans="1:19" ht="38.549999999999997" customHeight="1">
      <c r="A4" s="88" t="s">
        <v>366</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367</v>
      </c>
      <c r="K5" s="21" t="s">
        <v>89</v>
      </c>
      <c r="L5" s="21" t="s">
        <v>90</v>
      </c>
      <c r="M5" s="21" t="s">
        <v>91</v>
      </c>
      <c r="N5" s="21" t="s">
        <v>92</v>
      </c>
      <c r="O5" s="21" t="s">
        <v>93</v>
      </c>
      <c r="P5" s="21" t="s">
        <v>94</v>
      </c>
      <c r="Q5" s="21" t="s">
        <v>95</v>
      </c>
      <c r="R5" s="21" t="s">
        <v>96</v>
      </c>
      <c r="S5" s="21" t="s">
        <v>97</v>
      </c>
    </row>
    <row r="6" spans="1:19">
      <c r="A6" s="13" t="s">
        <v>98</v>
      </c>
      <c r="B6" s="15" t="s">
        <v>99</v>
      </c>
      <c r="C6" s="76">
        <v>213377</v>
      </c>
      <c r="D6" s="76">
        <v>100809</v>
      </c>
      <c r="E6" s="76">
        <v>15333</v>
      </c>
      <c r="F6" s="76">
        <v>50345</v>
      </c>
      <c r="G6" s="76">
        <v>18287</v>
      </c>
      <c r="H6" s="76">
        <v>3708</v>
      </c>
      <c r="I6" s="76">
        <v>10944</v>
      </c>
      <c r="J6" s="76">
        <v>17407</v>
      </c>
      <c r="K6" s="76">
        <v>4369</v>
      </c>
      <c r="L6" s="76">
        <v>17510</v>
      </c>
      <c r="M6" s="76">
        <v>8804</v>
      </c>
      <c r="N6" s="76">
        <v>2725</v>
      </c>
      <c r="O6" s="76">
        <v>3920</v>
      </c>
      <c r="P6" s="76">
        <v>3481</v>
      </c>
      <c r="Q6" s="76">
        <v>439</v>
      </c>
      <c r="R6" s="76">
        <v>165</v>
      </c>
      <c r="S6" s="76">
        <v>9398</v>
      </c>
    </row>
    <row r="7" spans="1:19">
      <c r="A7" s="5" t="s">
        <v>100</v>
      </c>
      <c r="B7" s="16" t="s">
        <v>101</v>
      </c>
      <c r="C7" s="76">
        <v>133823</v>
      </c>
      <c r="D7" s="76">
        <v>97971</v>
      </c>
      <c r="E7" s="76">
        <v>49</v>
      </c>
      <c r="F7" s="76">
        <v>35085</v>
      </c>
      <c r="G7" s="76">
        <v>16166</v>
      </c>
      <c r="H7" s="76">
        <v>2834</v>
      </c>
      <c r="I7" s="76">
        <v>1508</v>
      </c>
      <c r="J7" s="76">
        <v>14577</v>
      </c>
      <c r="K7" s="76">
        <v>0</v>
      </c>
      <c r="L7" s="76">
        <v>383</v>
      </c>
      <c r="M7" s="76">
        <v>0</v>
      </c>
      <c r="N7" s="76">
        <v>0</v>
      </c>
      <c r="O7" s="76">
        <v>335</v>
      </c>
      <c r="P7" s="76">
        <v>0</v>
      </c>
      <c r="Q7" s="76">
        <v>335</v>
      </c>
      <c r="R7" s="76">
        <v>0</v>
      </c>
      <c r="S7" s="76">
        <v>0</v>
      </c>
    </row>
    <row r="8" spans="1:19">
      <c r="A8" s="5" t="s">
        <v>102</v>
      </c>
      <c r="B8" s="16" t="s">
        <v>103</v>
      </c>
      <c r="C8" s="76">
        <v>59064</v>
      </c>
      <c r="D8" s="76">
        <v>59015</v>
      </c>
      <c r="E8" s="76">
        <v>49</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9692</v>
      </c>
      <c r="D9" s="76">
        <v>9340</v>
      </c>
      <c r="E9" s="76">
        <v>0</v>
      </c>
      <c r="F9" s="76">
        <v>351</v>
      </c>
      <c r="G9" s="76">
        <v>0</v>
      </c>
      <c r="H9" s="76">
        <v>0</v>
      </c>
      <c r="I9" s="76">
        <v>0</v>
      </c>
      <c r="J9" s="76">
        <v>351</v>
      </c>
      <c r="K9" s="76">
        <v>0</v>
      </c>
      <c r="L9" s="76">
        <v>0</v>
      </c>
      <c r="M9" s="76">
        <v>0</v>
      </c>
      <c r="N9" s="76">
        <v>0</v>
      </c>
      <c r="O9" s="76">
        <v>0</v>
      </c>
      <c r="P9" s="76">
        <v>0</v>
      </c>
      <c r="Q9" s="76">
        <v>0</v>
      </c>
      <c r="R9" s="76">
        <v>0</v>
      </c>
      <c r="S9" s="76">
        <v>0</v>
      </c>
    </row>
    <row r="10" spans="1:19">
      <c r="A10" s="5" t="s">
        <v>106</v>
      </c>
      <c r="B10" s="16" t="s">
        <v>107</v>
      </c>
      <c r="C10" s="76">
        <v>58023</v>
      </c>
      <c r="D10" s="76">
        <v>29616</v>
      </c>
      <c r="E10" s="76">
        <v>0</v>
      </c>
      <c r="F10" s="76">
        <v>27710</v>
      </c>
      <c r="G10" s="76">
        <v>15352</v>
      </c>
      <c r="H10" s="76">
        <v>2822</v>
      </c>
      <c r="I10" s="76">
        <v>0</v>
      </c>
      <c r="J10" s="76">
        <v>9535</v>
      </c>
      <c r="K10" s="76">
        <v>0</v>
      </c>
      <c r="L10" s="76">
        <v>383</v>
      </c>
      <c r="M10" s="76">
        <v>0</v>
      </c>
      <c r="N10" s="76">
        <v>0</v>
      </c>
      <c r="O10" s="76">
        <v>315</v>
      </c>
      <c r="P10" s="76">
        <v>0</v>
      </c>
      <c r="Q10" s="76">
        <v>315</v>
      </c>
      <c r="R10" s="76">
        <v>0</v>
      </c>
      <c r="S10" s="76">
        <v>0</v>
      </c>
    </row>
    <row r="11" spans="1:19">
      <c r="A11" s="5" t="s">
        <v>108</v>
      </c>
      <c r="B11" s="16" t="s">
        <v>109</v>
      </c>
      <c r="C11" s="76">
        <v>55715</v>
      </c>
      <c r="D11" s="76">
        <v>28541</v>
      </c>
      <c r="E11" s="76">
        <v>0</v>
      </c>
      <c r="F11" s="76">
        <v>26477</v>
      </c>
      <c r="G11" s="76">
        <v>15352</v>
      </c>
      <c r="H11" s="76">
        <v>2822</v>
      </c>
      <c r="I11" s="76">
        <v>0</v>
      </c>
      <c r="J11" s="76">
        <v>8303</v>
      </c>
      <c r="K11" s="76">
        <v>0</v>
      </c>
      <c r="L11" s="76">
        <v>383</v>
      </c>
      <c r="M11" s="76">
        <v>0</v>
      </c>
      <c r="N11" s="76">
        <v>0</v>
      </c>
      <c r="O11" s="76">
        <v>315</v>
      </c>
      <c r="P11" s="76">
        <v>0</v>
      </c>
      <c r="Q11" s="76">
        <v>315</v>
      </c>
      <c r="R11" s="76">
        <v>0</v>
      </c>
      <c r="S11" s="76">
        <v>0</v>
      </c>
    </row>
    <row r="12" spans="1:19">
      <c r="A12" s="5" t="s">
        <v>110</v>
      </c>
      <c r="B12" s="16" t="s">
        <v>111</v>
      </c>
      <c r="C12" s="76">
        <v>21022</v>
      </c>
      <c r="D12" s="76">
        <v>3961</v>
      </c>
      <c r="E12" s="76">
        <v>0</v>
      </c>
      <c r="F12" s="76">
        <v>16949</v>
      </c>
      <c r="G12" s="76">
        <v>15352</v>
      </c>
      <c r="H12" s="76">
        <v>0</v>
      </c>
      <c r="I12" s="76">
        <v>0</v>
      </c>
      <c r="J12" s="76">
        <v>1597</v>
      </c>
      <c r="K12" s="76">
        <v>0</v>
      </c>
      <c r="L12" s="76">
        <v>0</v>
      </c>
      <c r="M12" s="76">
        <v>0</v>
      </c>
      <c r="N12" s="76">
        <v>0</v>
      </c>
      <c r="O12" s="76">
        <v>112</v>
      </c>
      <c r="P12" s="76">
        <v>0</v>
      </c>
      <c r="Q12" s="76">
        <v>112</v>
      </c>
      <c r="R12" s="76">
        <v>0</v>
      </c>
      <c r="S12" s="76">
        <v>0</v>
      </c>
    </row>
    <row r="13" spans="1:19">
      <c r="A13" s="5" t="s">
        <v>112</v>
      </c>
      <c r="B13" s="16" t="s">
        <v>113</v>
      </c>
      <c r="C13" s="76">
        <v>3601</v>
      </c>
      <c r="D13" s="76">
        <v>455</v>
      </c>
      <c r="E13" s="76">
        <v>0</v>
      </c>
      <c r="F13" s="76">
        <v>3146</v>
      </c>
      <c r="G13" s="76">
        <v>0</v>
      </c>
      <c r="H13" s="76">
        <v>2822</v>
      </c>
      <c r="I13" s="76">
        <v>0</v>
      </c>
      <c r="J13" s="76">
        <v>324</v>
      </c>
      <c r="K13" s="76">
        <v>0</v>
      </c>
      <c r="L13" s="76">
        <v>0</v>
      </c>
      <c r="M13" s="76">
        <v>0</v>
      </c>
      <c r="N13" s="76">
        <v>0</v>
      </c>
      <c r="O13" s="76">
        <v>0</v>
      </c>
      <c r="P13" s="76">
        <v>0</v>
      </c>
      <c r="Q13" s="76">
        <v>0</v>
      </c>
      <c r="R13" s="76">
        <v>0</v>
      </c>
      <c r="S13" s="76">
        <v>0</v>
      </c>
    </row>
    <row r="14" spans="1:19">
      <c r="A14" s="5" t="s">
        <v>114</v>
      </c>
      <c r="B14" s="16" t="s">
        <v>115</v>
      </c>
      <c r="C14" s="76">
        <v>25643</v>
      </c>
      <c r="D14" s="76">
        <v>19906</v>
      </c>
      <c r="E14" s="76">
        <v>0</v>
      </c>
      <c r="F14" s="76">
        <v>5591</v>
      </c>
      <c r="G14" s="76">
        <v>0</v>
      </c>
      <c r="H14" s="76">
        <v>0</v>
      </c>
      <c r="I14" s="76">
        <v>0</v>
      </c>
      <c r="J14" s="76">
        <v>5591</v>
      </c>
      <c r="K14" s="76">
        <v>0</v>
      </c>
      <c r="L14" s="76">
        <v>0</v>
      </c>
      <c r="M14" s="76">
        <v>0</v>
      </c>
      <c r="N14" s="76">
        <v>0</v>
      </c>
      <c r="O14" s="76">
        <v>146</v>
      </c>
      <c r="P14" s="76">
        <v>0</v>
      </c>
      <c r="Q14" s="76">
        <v>146</v>
      </c>
      <c r="R14" s="76">
        <v>0</v>
      </c>
      <c r="S14" s="76">
        <v>0</v>
      </c>
    </row>
    <row r="15" spans="1:19">
      <c r="A15" s="5" t="s">
        <v>116</v>
      </c>
      <c r="B15" s="16" t="s">
        <v>117</v>
      </c>
      <c r="C15" s="76">
        <v>5449</v>
      </c>
      <c r="D15" s="76">
        <v>4219</v>
      </c>
      <c r="E15" s="76">
        <v>0</v>
      </c>
      <c r="F15" s="76">
        <v>791</v>
      </c>
      <c r="G15" s="76">
        <v>0</v>
      </c>
      <c r="H15" s="76">
        <v>0</v>
      </c>
      <c r="I15" s="76">
        <v>0</v>
      </c>
      <c r="J15" s="76">
        <v>791</v>
      </c>
      <c r="K15" s="76">
        <v>0</v>
      </c>
      <c r="L15" s="76">
        <v>383</v>
      </c>
      <c r="M15" s="76">
        <v>0</v>
      </c>
      <c r="N15" s="76">
        <v>0</v>
      </c>
      <c r="O15" s="76">
        <v>57</v>
      </c>
      <c r="P15" s="76">
        <v>0</v>
      </c>
      <c r="Q15" s="76">
        <v>57</v>
      </c>
      <c r="R15" s="76">
        <v>0</v>
      </c>
      <c r="S15" s="76">
        <v>0</v>
      </c>
    </row>
    <row r="16" spans="1:19">
      <c r="A16" s="5" t="s">
        <v>118</v>
      </c>
      <c r="B16" s="16" t="s">
        <v>119</v>
      </c>
      <c r="C16" s="76">
        <v>2308</v>
      </c>
      <c r="D16" s="76">
        <v>1075</v>
      </c>
      <c r="E16" s="76">
        <v>0</v>
      </c>
      <c r="F16" s="76">
        <v>1233</v>
      </c>
      <c r="G16" s="76">
        <v>0</v>
      </c>
      <c r="H16" s="76">
        <v>0</v>
      </c>
      <c r="I16" s="76">
        <v>0</v>
      </c>
      <c r="J16" s="76">
        <v>1233</v>
      </c>
      <c r="K16" s="76">
        <v>0</v>
      </c>
      <c r="L16" s="76">
        <v>0</v>
      </c>
      <c r="M16" s="76">
        <v>0</v>
      </c>
      <c r="N16" s="76">
        <v>0</v>
      </c>
      <c r="O16" s="76">
        <v>0</v>
      </c>
      <c r="P16" s="76">
        <v>0</v>
      </c>
      <c r="Q16" s="76">
        <v>0</v>
      </c>
      <c r="R16" s="76">
        <v>0</v>
      </c>
      <c r="S16" s="76">
        <v>0</v>
      </c>
    </row>
    <row r="17" spans="1:19">
      <c r="A17" s="5" t="s">
        <v>120</v>
      </c>
      <c r="B17" s="16" t="s">
        <v>121</v>
      </c>
      <c r="C17" s="76">
        <v>7045</v>
      </c>
      <c r="D17" s="76">
        <v>0</v>
      </c>
      <c r="E17" s="76">
        <v>0</v>
      </c>
      <c r="F17" s="76">
        <v>7025</v>
      </c>
      <c r="G17" s="76">
        <v>814</v>
      </c>
      <c r="H17" s="76">
        <v>11</v>
      </c>
      <c r="I17" s="76">
        <v>1508</v>
      </c>
      <c r="J17" s="76">
        <v>4691</v>
      </c>
      <c r="K17" s="76">
        <v>0</v>
      </c>
      <c r="L17" s="76">
        <v>0</v>
      </c>
      <c r="M17" s="76">
        <v>0</v>
      </c>
      <c r="N17" s="76">
        <v>0</v>
      </c>
      <c r="O17" s="76">
        <v>20</v>
      </c>
      <c r="P17" s="76">
        <v>0</v>
      </c>
      <c r="Q17" s="76">
        <v>20</v>
      </c>
      <c r="R17" s="76">
        <v>0</v>
      </c>
      <c r="S17" s="76">
        <v>0</v>
      </c>
    </row>
    <row r="18" spans="1:19">
      <c r="A18" s="5" t="s">
        <v>122</v>
      </c>
      <c r="B18" s="16" t="s">
        <v>123</v>
      </c>
      <c r="C18" s="76">
        <v>5973</v>
      </c>
      <c r="D18" s="76">
        <v>0</v>
      </c>
      <c r="E18" s="76">
        <v>0</v>
      </c>
      <c r="F18" s="76">
        <v>5952</v>
      </c>
      <c r="G18" s="76">
        <v>814</v>
      </c>
      <c r="H18" s="76">
        <v>11</v>
      </c>
      <c r="I18" s="76">
        <v>1508</v>
      </c>
      <c r="J18" s="76">
        <v>3619</v>
      </c>
      <c r="K18" s="76">
        <v>0</v>
      </c>
      <c r="L18" s="76">
        <v>0</v>
      </c>
      <c r="M18" s="76">
        <v>0</v>
      </c>
      <c r="N18" s="76">
        <v>0</v>
      </c>
      <c r="O18" s="76">
        <v>20</v>
      </c>
      <c r="P18" s="76">
        <v>0</v>
      </c>
      <c r="Q18" s="76">
        <v>20</v>
      </c>
      <c r="R18" s="76">
        <v>0</v>
      </c>
      <c r="S18" s="76">
        <v>0</v>
      </c>
    </row>
    <row r="19" spans="1:19">
      <c r="A19" s="5" t="s">
        <v>124</v>
      </c>
      <c r="B19" s="16" t="s">
        <v>125</v>
      </c>
      <c r="C19" s="76">
        <v>1072</v>
      </c>
      <c r="D19" s="76">
        <v>0</v>
      </c>
      <c r="E19" s="76">
        <v>0</v>
      </c>
      <c r="F19" s="76">
        <v>1072</v>
      </c>
      <c r="G19" s="76">
        <v>0</v>
      </c>
      <c r="H19" s="76">
        <v>0</v>
      </c>
      <c r="I19" s="76">
        <v>0</v>
      </c>
      <c r="J19" s="76">
        <v>1072</v>
      </c>
      <c r="K19" s="76">
        <v>0</v>
      </c>
      <c r="L19" s="76">
        <v>0</v>
      </c>
      <c r="M19" s="76">
        <v>0</v>
      </c>
      <c r="N19" s="76">
        <v>0</v>
      </c>
      <c r="O19" s="76">
        <v>0</v>
      </c>
      <c r="P19" s="76">
        <v>0</v>
      </c>
      <c r="Q19" s="76">
        <v>0</v>
      </c>
      <c r="R19" s="76">
        <v>0</v>
      </c>
      <c r="S19" s="76">
        <v>0</v>
      </c>
    </row>
    <row r="20" spans="1:19">
      <c r="A20" s="5" t="s">
        <v>342</v>
      </c>
      <c r="B20" s="16" t="s">
        <v>126</v>
      </c>
      <c r="C20" s="76">
        <v>29737</v>
      </c>
      <c r="D20" s="76">
        <v>1208</v>
      </c>
      <c r="E20" s="76">
        <v>15284</v>
      </c>
      <c r="F20" s="76">
        <v>9764</v>
      </c>
      <c r="G20" s="76">
        <v>222</v>
      </c>
      <c r="H20" s="76">
        <v>0</v>
      </c>
      <c r="I20" s="76">
        <v>9435</v>
      </c>
      <c r="J20" s="76">
        <v>107</v>
      </c>
      <c r="K20" s="76">
        <v>0</v>
      </c>
      <c r="L20" s="76">
        <v>0</v>
      </c>
      <c r="M20" s="76">
        <v>0</v>
      </c>
      <c r="N20" s="76">
        <v>0</v>
      </c>
      <c r="O20" s="76">
        <v>3481</v>
      </c>
      <c r="P20" s="76">
        <v>3481</v>
      </c>
      <c r="Q20" s="76">
        <v>0</v>
      </c>
      <c r="R20" s="76">
        <v>0</v>
      </c>
      <c r="S20" s="76">
        <v>0</v>
      </c>
    </row>
    <row r="21" spans="1:19">
      <c r="A21" s="5" t="s">
        <v>343</v>
      </c>
      <c r="B21" s="16" t="s">
        <v>127</v>
      </c>
      <c r="C21" s="76">
        <v>16435</v>
      </c>
      <c r="D21" s="76">
        <v>1151</v>
      </c>
      <c r="E21" s="76">
        <v>15284</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16</v>
      </c>
      <c r="D22" s="76">
        <v>16</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262</v>
      </c>
      <c r="D23" s="76">
        <v>40</v>
      </c>
      <c r="E23" s="76">
        <v>0</v>
      </c>
      <c r="F23" s="76">
        <v>222</v>
      </c>
      <c r="G23" s="76">
        <v>222</v>
      </c>
      <c r="H23" s="76">
        <v>0</v>
      </c>
      <c r="I23" s="76">
        <v>0</v>
      </c>
      <c r="J23" s="76">
        <v>0</v>
      </c>
      <c r="K23" s="76">
        <v>0</v>
      </c>
      <c r="L23" s="76">
        <v>0</v>
      </c>
      <c r="M23" s="76">
        <v>0</v>
      </c>
      <c r="N23" s="76">
        <v>0</v>
      </c>
      <c r="O23" s="76">
        <v>0</v>
      </c>
      <c r="P23" s="76">
        <v>0</v>
      </c>
      <c r="Q23" s="76">
        <v>0</v>
      </c>
      <c r="R23" s="76">
        <v>0</v>
      </c>
      <c r="S23" s="76">
        <v>0</v>
      </c>
    </row>
    <row r="24" spans="1:19">
      <c r="A24" s="5" t="s">
        <v>346</v>
      </c>
      <c r="B24" s="16" t="s">
        <v>130</v>
      </c>
      <c r="C24" s="76">
        <v>13024</v>
      </c>
      <c r="D24" s="76">
        <v>0</v>
      </c>
      <c r="E24" s="76">
        <v>0</v>
      </c>
      <c r="F24" s="76">
        <v>9542</v>
      </c>
      <c r="G24" s="76">
        <v>0</v>
      </c>
      <c r="H24" s="76">
        <v>0</v>
      </c>
      <c r="I24" s="76">
        <v>9435</v>
      </c>
      <c r="J24" s="76">
        <v>107</v>
      </c>
      <c r="K24" s="76">
        <v>0</v>
      </c>
      <c r="L24" s="76">
        <v>0</v>
      </c>
      <c r="M24" s="76">
        <v>0</v>
      </c>
      <c r="N24" s="76">
        <v>0</v>
      </c>
      <c r="O24" s="76">
        <v>3481</v>
      </c>
      <c r="P24" s="76">
        <v>3481</v>
      </c>
      <c r="Q24" s="76">
        <v>0</v>
      </c>
      <c r="R24" s="76">
        <v>0</v>
      </c>
      <c r="S24" s="76">
        <v>0</v>
      </c>
    </row>
    <row r="25" spans="1:19">
      <c r="A25" s="5" t="s">
        <v>347</v>
      </c>
      <c r="B25" s="16" t="s">
        <v>131</v>
      </c>
      <c r="C25" s="76">
        <v>5008</v>
      </c>
      <c r="D25" s="76">
        <v>535</v>
      </c>
      <c r="E25" s="76">
        <v>0</v>
      </c>
      <c r="F25" s="76">
        <v>0</v>
      </c>
      <c r="G25" s="76">
        <v>0</v>
      </c>
      <c r="H25" s="76">
        <v>0</v>
      </c>
      <c r="I25" s="76">
        <v>0</v>
      </c>
      <c r="J25" s="76">
        <v>0</v>
      </c>
      <c r="K25" s="76">
        <v>4369</v>
      </c>
      <c r="L25" s="76">
        <v>0</v>
      </c>
      <c r="M25" s="76">
        <v>0</v>
      </c>
      <c r="N25" s="76">
        <v>0</v>
      </c>
      <c r="O25" s="76">
        <v>104</v>
      </c>
      <c r="P25" s="76">
        <v>0</v>
      </c>
      <c r="Q25" s="76">
        <v>104</v>
      </c>
      <c r="R25" s="76">
        <v>0</v>
      </c>
      <c r="S25" s="76">
        <v>0</v>
      </c>
    </row>
    <row r="26" spans="1:19">
      <c r="A26" s="5" t="s">
        <v>348</v>
      </c>
      <c r="B26" s="16" t="s">
        <v>132</v>
      </c>
      <c r="C26" s="76">
        <v>18204</v>
      </c>
      <c r="D26" s="76">
        <v>0</v>
      </c>
      <c r="E26" s="76">
        <v>0</v>
      </c>
      <c r="F26" s="76">
        <v>1076</v>
      </c>
      <c r="G26" s="76">
        <v>1076</v>
      </c>
      <c r="H26" s="76">
        <v>0</v>
      </c>
      <c r="I26" s="76">
        <v>0</v>
      </c>
      <c r="J26" s="76">
        <v>0</v>
      </c>
      <c r="K26" s="76">
        <v>0</v>
      </c>
      <c r="L26" s="76">
        <v>17128</v>
      </c>
      <c r="M26" s="76">
        <v>0</v>
      </c>
      <c r="N26" s="76">
        <v>0</v>
      </c>
      <c r="O26" s="76">
        <v>0</v>
      </c>
      <c r="P26" s="76">
        <v>0</v>
      </c>
      <c r="Q26" s="76">
        <v>0</v>
      </c>
      <c r="R26" s="76">
        <v>0</v>
      </c>
      <c r="S26" s="76">
        <v>0</v>
      </c>
    </row>
    <row r="27" spans="1:19">
      <c r="A27" s="5" t="s">
        <v>349</v>
      </c>
      <c r="B27" s="16" t="s">
        <v>133</v>
      </c>
      <c r="C27" s="76">
        <v>17394</v>
      </c>
      <c r="D27" s="76">
        <v>0</v>
      </c>
      <c r="E27" s="76">
        <v>0</v>
      </c>
      <c r="F27" s="76">
        <v>1076</v>
      </c>
      <c r="G27" s="76">
        <v>1076</v>
      </c>
      <c r="H27" s="76">
        <v>0</v>
      </c>
      <c r="I27" s="76">
        <v>0</v>
      </c>
      <c r="J27" s="76">
        <v>0</v>
      </c>
      <c r="K27" s="76">
        <v>0</v>
      </c>
      <c r="L27" s="76">
        <v>16318</v>
      </c>
      <c r="M27" s="76">
        <v>0</v>
      </c>
      <c r="N27" s="76">
        <v>0</v>
      </c>
      <c r="O27" s="76">
        <v>0</v>
      </c>
      <c r="P27" s="76">
        <v>0</v>
      </c>
      <c r="Q27" s="76">
        <v>0</v>
      </c>
      <c r="R27" s="76">
        <v>0</v>
      </c>
      <c r="S27" s="76">
        <v>0</v>
      </c>
    </row>
    <row r="28" spans="1:19">
      <c r="A28" s="5" t="s">
        <v>350</v>
      </c>
      <c r="B28" s="16" t="s">
        <v>134</v>
      </c>
      <c r="C28" s="76">
        <v>15559</v>
      </c>
      <c r="D28" s="76">
        <v>0</v>
      </c>
      <c r="E28" s="76">
        <v>0</v>
      </c>
      <c r="F28" s="76">
        <v>958</v>
      </c>
      <c r="G28" s="76">
        <v>958</v>
      </c>
      <c r="H28" s="76">
        <v>0</v>
      </c>
      <c r="I28" s="76">
        <v>0</v>
      </c>
      <c r="J28" s="76">
        <v>0</v>
      </c>
      <c r="K28" s="76">
        <v>0</v>
      </c>
      <c r="L28" s="76">
        <v>14600</v>
      </c>
      <c r="M28" s="76">
        <v>0</v>
      </c>
      <c r="N28" s="76">
        <v>0</v>
      </c>
      <c r="O28" s="76">
        <v>0</v>
      </c>
      <c r="P28" s="76">
        <v>0</v>
      </c>
      <c r="Q28" s="76">
        <v>0</v>
      </c>
      <c r="R28" s="76">
        <v>0</v>
      </c>
      <c r="S28" s="76">
        <v>0</v>
      </c>
    </row>
    <row r="29" spans="1:19">
      <c r="A29" s="5" t="s">
        <v>351</v>
      </c>
      <c r="B29" s="16" t="s">
        <v>135</v>
      </c>
      <c r="C29" s="76">
        <v>0</v>
      </c>
      <c r="D29" s="76">
        <v>0</v>
      </c>
      <c r="E29" s="76">
        <v>0</v>
      </c>
      <c r="F29" s="76">
        <v>0</v>
      </c>
      <c r="G29" s="76">
        <v>0</v>
      </c>
      <c r="H29" s="76">
        <v>0</v>
      </c>
      <c r="I29" s="76">
        <v>0</v>
      </c>
      <c r="J29" s="76">
        <v>0</v>
      </c>
      <c r="K29" s="76">
        <v>0</v>
      </c>
      <c r="L29" s="76">
        <v>0</v>
      </c>
      <c r="M29" s="76">
        <v>0</v>
      </c>
      <c r="N29" s="76">
        <v>0</v>
      </c>
      <c r="O29" s="76">
        <v>0</v>
      </c>
      <c r="P29" s="76">
        <v>0</v>
      </c>
      <c r="Q29" s="76">
        <v>0</v>
      </c>
      <c r="R29" s="76">
        <v>0</v>
      </c>
      <c r="S29" s="76">
        <v>0</v>
      </c>
    </row>
    <row r="30" spans="1:19">
      <c r="A30" s="5" t="s">
        <v>352</v>
      </c>
      <c r="B30" s="16" t="s">
        <v>136</v>
      </c>
      <c r="C30" s="76">
        <v>1836</v>
      </c>
      <c r="D30" s="76">
        <v>0</v>
      </c>
      <c r="E30" s="76">
        <v>0</v>
      </c>
      <c r="F30" s="76">
        <v>118</v>
      </c>
      <c r="G30" s="76">
        <v>118</v>
      </c>
      <c r="H30" s="76">
        <v>0</v>
      </c>
      <c r="I30" s="76">
        <v>0</v>
      </c>
      <c r="J30" s="76">
        <v>0</v>
      </c>
      <c r="K30" s="76">
        <v>0</v>
      </c>
      <c r="L30" s="76">
        <v>1718</v>
      </c>
      <c r="M30" s="76">
        <v>0</v>
      </c>
      <c r="N30" s="76">
        <v>0</v>
      </c>
      <c r="O30" s="76">
        <v>0</v>
      </c>
      <c r="P30" s="76">
        <v>0</v>
      </c>
      <c r="Q30" s="76">
        <v>0</v>
      </c>
      <c r="R30" s="76">
        <v>0</v>
      </c>
      <c r="S30" s="76">
        <v>0</v>
      </c>
    </row>
    <row r="31" spans="1:19">
      <c r="A31" s="5" t="s">
        <v>353</v>
      </c>
      <c r="B31" s="16" t="s">
        <v>137</v>
      </c>
      <c r="C31" s="76">
        <v>810</v>
      </c>
      <c r="D31" s="76">
        <v>0</v>
      </c>
      <c r="E31" s="76">
        <v>0</v>
      </c>
      <c r="F31" s="76">
        <v>0</v>
      </c>
      <c r="G31" s="76">
        <v>0</v>
      </c>
      <c r="H31" s="76">
        <v>0</v>
      </c>
      <c r="I31" s="76">
        <v>0</v>
      </c>
      <c r="J31" s="76">
        <v>0</v>
      </c>
      <c r="K31" s="76">
        <v>0</v>
      </c>
      <c r="L31" s="76">
        <v>810</v>
      </c>
      <c r="M31" s="76">
        <v>0</v>
      </c>
      <c r="N31" s="76">
        <v>0</v>
      </c>
      <c r="O31" s="76">
        <v>0</v>
      </c>
      <c r="P31" s="76">
        <v>0</v>
      </c>
      <c r="Q31" s="76">
        <v>0</v>
      </c>
      <c r="R31" s="76">
        <v>0</v>
      </c>
      <c r="S31" s="76">
        <v>0</v>
      </c>
    </row>
    <row r="32" spans="1:19">
      <c r="A32" s="5" t="s">
        <v>354</v>
      </c>
      <c r="B32" s="16" t="s">
        <v>138</v>
      </c>
      <c r="C32" s="76">
        <v>14257</v>
      </c>
      <c r="D32" s="76">
        <v>1095</v>
      </c>
      <c r="E32" s="76">
        <v>0</v>
      </c>
      <c r="F32" s="76">
        <v>4419</v>
      </c>
      <c r="G32" s="76">
        <v>823</v>
      </c>
      <c r="H32" s="76">
        <v>874</v>
      </c>
      <c r="I32" s="76">
        <v>0</v>
      </c>
      <c r="J32" s="76">
        <v>2723</v>
      </c>
      <c r="K32" s="76">
        <v>0</v>
      </c>
      <c r="L32" s="76">
        <v>0</v>
      </c>
      <c r="M32" s="76">
        <v>8743</v>
      </c>
      <c r="N32" s="76">
        <v>0</v>
      </c>
      <c r="O32" s="76">
        <v>0</v>
      </c>
      <c r="P32" s="76">
        <v>0</v>
      </c>
      <c r="Q32" s="76">
        <v>0</v>
      </c>
      <c r="R32" s="76">
        <v>0</v>
      </c>
      <c r="S32" s="76">
        <v>0</v>
      </c>
    </row>
    <row r="33" spans="1:19">
      <c r="A33" s="5" t="s">
        <v>355</v>
      </c>
      <c r="B33" s="16" t="s">
        <v>139</v>
      </c>
      <c r="C33" s="76">
        <v>3237</v>
      </c>
      <c r="D33" s="76">
        <v>0</v>
      </c>
      <c r="E33" s="76">
        <v>0</v>
      </c>
      <c r="F33" s="76">
        <v>1551</v>
      </c>
      <c r="G33" s="76">
        <v>359</v>
      </c>
      <c r="H33" s="76">
        <v>0</v>
      </c>
      <c r="I33" s="76">
        <v>0</v>
      </c>
      <c r="J33" s="76">
        <v>1192</v>
      </c>
      <c r="K33" s="76">
        <v>0</v>
      </c>
      <c r="L33" s="76">
        <v>0</v>
      </c>
      <c r="M33" s="76">
        <v>1686</v>
      </c>
      <c r="N33" s="76">
        <v>0</v>
      </c>
      <c r="O33" s="76">
        <v>0</v>
      </c>
      <c r="P33" s="76">
        <v>0</v>
      </c>
      <c r="Q33" s="76">
        <v>0</v>
      </c>
      <c r="R33" s="76">
        <v>0</v>
      </c>
      <c r="S33" s="76">
        <v>0</v>
      </c>
    </row>
    <row r="34" spans="1:19">
      <c r="A34" s="5" t="s">
        <v>356</v>
      </c>
      <c r="B34" s="16" t="s">
        <v>140</v>
      </c>
      <c r="C34" s="76">
        <v>1219</v>
      </c>
      <c r="D34" s="76">
        <v>6</v>
      </c>
      <c r="E34" s="76">
        <v>0</v>
      </c>
      <c r="F34" s="76">
        <v>436</v>
      </c>
      <c r="G34" s="76">
        <v>356</v>
      </c>
      <c r="H34" s="76">
        <v>0</v>
      </c>
      <c r="I34" s="76">
        <v>0</v>
      </c>
      <c r="J34" s="76">
        <v>80</v>
      </c>
      <c r="K34" s="76">
        <v>0</v>
      </c>
      <c r="L34" s="76">
        <v>0</v>
      </c>
      <c r="M34" s="76">
        <v>777</v>
      </c>
      <c r="N34" s="76">
        <v>0</v>
      </c>
      <c r="O34" s="76">
        <v>0</v>
      </c>
      <c r="P34" s="76">
        <v>0</v>
      </c>
      <c r="Q34" s="76">
        <v>0</v>
      </c>
      <c r="R34" s="76">
        <v>0</v>
      </c>
      <c r="S34" s="76">
        <v>0</v>
      </c>
    </row>
    <row r="35" spans="1:19">
      <c r="A35" s="5" t="s">
        <v>357</v>
      </c>
      <c r="B35" s="16" t="s">
        <v>141</v>
      </c>
      <c r="C35" s="76">
        <v>4191</v>
      </c>
      <c r="D35" s="76">
        <v>421</v>
      </c>
      <c r="E35" s="76">
        <v>0</v>
      </c>
      <c r="F35" s="76">
        <v>118</v>
      </c>
      <c r="G35" s="76">
        <v>79</v>
      </c>
      <c r="H35" s="76">
        <v>0</v>
      </c>
      <c r="I35" s="76">
        <v>0</v>
      </c>
      <c r="J35" s="76">
        <v>39</v>
      </c>
      <c r="K35" s="76">
        <v>0</v>
      </c>
      <c r="L35" s="76">
        <v>0</v>
      </c>
      <c r="M35" s="76">
        <v>3653</v>
      </c>
      <c r="N35" s="76">
        <v>0</v>
      </c>
      <c r="O35" s="76">
        <v>0</v>
      </c>
      <c r="P35" s="76">
        <v>0</v>
      </c>
      <c r="Q35" s="76">
        <v>0</v>
      </c>
      <c r="R35" s="76">
        <v>0</v>
      </c>
      <c r="S35" s="76">
        <v>0</v>
      </c>
    </row>
    <row r="36" spans="1:19">
      <c r="A36" s="5" t="s">
        <v>358</v>
      </c>
      <c r="B36" s="16" t="s">
        <v>142</v>
      </c>
      <c r="C36" s="76">
        <v>3282</v>
      </c>
      <c r="D36" s="76">
        <v>668</v>
      </c>
      <c r="E36" s="76">
        <v>0</v>
      </c>
      <c r="F36" s="76">
        <v>2314</v>
      </c>
      <c r="G36" s="76">
        <v>28</v>
      </c>
      <c r="H36" s="76">
        <v>874</v>
      </c>
      <c r="I36" s="76">
        <v>0</v>
      </c>
      <c r="J36" s="76">
        <v>1412</v>
      </c>
      <c r="K36" s="76">
        <v>0</v>
      </c>
      <c r="L36" s="76">
        <v>0</v>
      </c>
      <c r="M36" s="76">
        <v>299</v>
      </c>
      <c r="N36" s="76">
        <v>0</v>
      </c>
      <c r="O36" s="76">
        <v>0</v>
      </c>
      <c r="P36" s="76">
        <v>0</v>
      </c>
      <c r="Q36" s="76">
        <v>0</v>
      </c>
      <c r="R36" s="76">
        <v>0</v>
      </c>
      <c r="S36" s="76">
        <v>0</v>
      </c>
    </row>
    <row r="37" spans="1:19">
      <c r="A37" s="5" t="s">
        <v>359</v>
      </c>
      <c r="B37" s="16" t="s">
        <v>143</v>
      </c>
      <c r="C37" s="76">
        <v>2328</v>
      </c>
      <c r="D37" s="76">
        <v>0</v>
      </c>
      <c r="E37" s="76">
        <v>0</v>
      </c>
      <c r="F37" s="76">
        <v>0</v>
      </c>
      <c r="G37" s="76">
        <v>0</v>
      </c>
      <c r="H37" s="76">
        <v>0</v>
      </c>
      <c r="I37" s="76">
        <v>0</v>
      </c>
      <c r="J37" s="76">
        <v>0</v>
      </c>
      <c r="K37" s="76">
        <v>0</v>
      </c>
      <c r="L37" s="76">
        <v>0</v>
      </c>
      <c r="M37" s="76">
        <v>2328</v>
      </c>
      <c r="N37" s="76">
        <v>0</v>
      </c>
      <c r="O37" s="76">
        <v>0</v>
      </c>
      <c r="P37" s="76">
        <v>0</v>
      </c>
      <c r="Q37" s="76">
        <v>0</v>
      </c>
      <c r="R37" s="76">
        <v>0</v>
      </c>
      <c r="S37" s="76">
        <v>0</v>
      </c>
    </row>
    <row r="38" spans="1:19">
      <c r="A38" s="5" t="s">
        <v>360</v>
      </c>
      <c r="B38" s="16" t="s">
        <v>144</v>
      </c>
      <c r="C38" s="76">
        <v>2805</v>
      </c>
      <c r="D38" s="76">
        <v>0</v>
      </c>
      <c r="E38" s="76">
        <v>0</v>
      </c>
      <c r="F38" s="76">
        <v>0</v>
      </c>
      <c r="G38" s="76">
        <v>0</v>
      </c>
      <c r="H38" s="76">
        <v>0</v>
      </c>
      <c r="I38" s="76">
        <v>0</v>
      </c>
      <c r="J38" s="76">
        <v>0</v>
      </c>
      <c r="K38" s="76">
        <v>0</v>
      </c>
      <c r="L38" s="76">
        <v>0</v>
      </c>
      <c r="M38" s="76">
        <v>61</v>
      </c>
      <c r="N38" s="76">
        <v>2725</v>
      </c>
      <c r="O38" s="76">
        <v>0</v>
      </c>
      <c r="P38" s="76">
        <v>0</v>
      </c>
      <c r="Q38" s="76">
        <v>0</v>
      </c>
      <c r="R38" s="76">
        <v>19</v>
      </c>
      <c r="S38" s="76">
        <v>0</v>
      </c>
    </row>
    <row r="39" spans="1:19">
      <c r="A39" s="5" t="s">
        <v>361</v>
      </c>
      <c r="B39" s="16" t="s">
        <v>145</v>
      </c>
      <c r="C39" s="76">
        <v>2805</v>
      </c>
      <c r="D39" s="76">
        <v>0</v>
      </c>
      <c r="E39" s="76">
        <v>0</v>
      </c>
      <c r="F39" s="76">
        <v>0</v>
      </c>
      <c r="G39" s="76">
        <v>0</v>
      </c>
      <c r="H39" s="76">
        <v>0</v>
      </c>
      <c r="I39" s="76">
        <v>0</v>
      </c>
      <c r="J39" s="76">
        <v>0</v>
      </c>
      <c r="K39" s="76">
        <v>0</v>
      </c>
      <c r="L39" s="76">
        <v>0</v>
      </c>
      <c r="M39" s="76">
        <v>61</v>
      </c>
      <c r="N39" s="76">
        <v>2725</v>
      </c>
      <c r="O39" s="76">
        <v>0</v>
      </c>
      <c r="P39" s="76">
        <v>0</v>
      </c>
      <c r="Q39" s="76">
        <v>0</v>
      </c>
      <c r="R39" s="76">
        <v>19</v>
      </c>
      <c r="S39" s="76">
        <v>0</v>
      </c>
    </row>
    <row r="40" spans="1:19">
      <c r="A40" s="5" t="s">
        <v>362</v>
      </c>
      <c r="B40" s="16" t="s">
        <v>146</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0</v>
      </c>
    </row>
    <row r="41" spans="1:19">
      <c r="A41" s="5" t="s">
        <v>363</v>
      </c>
      <c r="B41" s="16" t="s">
        <v>97</v>
      </c>
      <c r="C41" s="76">
        <v>9543</v>
      </c>
      <c r="D41" s="76">
        <v>0</v>
      </c>
      <c r="E41" s="76">
        <v>0</v>
      </c>
      <c r="F41" s="76">
        <v>0</v>
      </c>
      <c r="G41" s="76">
        <v>0</v>
      </c>
      <c r="H41" s="76">
        <v>0</v>
      </c>
      <c r="I41" s="76">
        <v>0</v>
      </c>
      <c r="J41" s="76">
        <v>0</v>
      </c>
      <c r="K41" s="76">
        <v>0</v>
      </c>
      <c r="L41" s="76">
        <v>0</v>
      </c>
      <c r="M41" s="76">
        <v>0</v>
      </c>
      <c r="N41" s="76">
        <v>0</v>
      </c>
      <c r="O41" s="76">
        <v>0</v>
      </c>
      <c r="P41" s="76">
        <v>0</v>
      </c>
      <c r="Q41" s="76">
        <v>0</v>
      </c>
      <c r="R41" s="76">
        <v>145</v>
      </c>
      <c r="S41" s="76">
        <v>9398</v>
      </c>
    </row>
    <row r="42" spans="1:19">
      <c r="A42" t="s">
        <v>152</v>
      </c>
      <c r="C42" s="76"/>
    </row>
    <row r="43" spans="1:19" ht="32.549999999999997" customHeight="1">
      <c r="A43" s="1" t="s">
        <v>38</v>
      </c>
    </row>
    <row r="44" spans="1:19" ht="17" customHeight="1">
      <c r="A44" s="11" t="s">
        <v>51</v>
      </c>
      <c r="B44" s="89" t="s">
        <v>45</v>
      </c>
    </row>
    <row r="45" spans="1:19">
      <c r="A45" t="s">
        <v>52</v>
      </c>
      <c r="B45" s="18" t="s">
        <v>148</v>
      </c>
    </row>
    <row r="46" spans="1:19">
      <c r="A46" t="s">
        <v>53</v>
      </c>
      <c r="B46" s="18" t="s">
        <v>149</v>
      </c>
    </row>
    <row r="47" spans="1:19">
      <c r="A47" t="s">
        <v>54</v>
      </c>
      <c r="B47" s="18" t="s">
        <v>150</v>
      </c>
    </row>
    <row r="48" spans="1:19">
      <c r="A48" t="s">
        <v>329</v>
      </c>
      <c r="B48" s="19" t="s">
        <v>41</v>
      </c>
    </row>
    <row r="49" spans="1:2">
      <c r="A49" t="s">
        <v>55</v>
      </c>
      <c r="B49" s="18" t="s">
        <v>42</v>
      </c>
    </row>
    <row r="50" spans="1:2">
      <c r="A50" t="s">
        <v>56</v>
      </c>
      <c r="B50" s="18" t="s">
        <v>43</v>
      </c>
    </row>
    <row r="51" spans="1:2">
      <c r="A51" t="s">
        <v>332</v>
      </c>
      <c r="B51" s="19" t="s">
        <v>44</v>
      </c>
    </row>
    <row r="52" spans="1:2">
      <c r="A52" t="s">
        <v>57</v>
      </c>
      <c r="B52" s="18" t="s">
        <v>151</v>
      </c>
    </row>
    <row r="53" spans="1:2">
      <c r="A53" t="s">
        <v>58</v>
      </c>
      <c r="B53" s="18" t="s">
        <v>50</v>
      </c>
    </row>
  </sheetData>
  <hyperlinks>
    <hyperlink ref="B51" r:id="rId1" xr:uid="{BF9EBA58-56FD-4223-B41D-C587832142DF}"/>
    <hyperlink ref="B48" r:id="rId2" display="https://www.ons.gov.uk/peoplepopulationandcommunity/healthandsocialcare/healthcaresystem/methodologies/introductiontohealthaccounts" xr:uid="{C07003D3-F5C5-4E0A-8D2E-8EB9A62FF5B4}"/>
  </hyperlinks>
  <pageMargins left="0.7" right="0.7" top="0.75" bottom="0.75" header="0.3" footer="0.3"/>
  <pageSetup paperSize="9" orientation="portrait" r:id="rId3"/>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C649-279B-441E-97CB-ED5A19D2D1FC}">
  <sheetPr>
    <tabColor theme="5" tint="0.59999389629810485"/>
  </sheetPr>
  <dimension ref="A1:S53"/>
  <sheetViews>
    <sheetView showGridLines="0" zoomScale="70" zoomScaleNormal="70" workbookViewId="0"/>
  </sheetViews>
  <sheetFormatPr defaultRowHeight="15"/>
  <cols>
    <col min="1" max="1" width="15.832031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368</v>
      </c>
    </row>
    <row r="2" spans="1:19" ht="22.5" customHeight="1">
      <c r="A2" s="11" t="s">
        <v>364</v>
      </c>
    </row>
    <row r="3" spans="1:19" ht="41" customHeight="1">
      <c r="A3" s="11" t="s">
        <v>64</v>
      </c>
    </row>
    <row r="4" spans="1:19" ht="38.549999999999997" customHeight="1">
      <c r="A4" s="88" t="s">
        <v>366</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367</v>
      </c>
      <c r="K5" s="21" t="s">
        <v>89</v>
      </c>
      <c r="L5" s="21" t="s">
        <v>90</v>
      </c>
      <c r="M5" s="21" t="s">
        <v>91</v>
      </c>
      <c r="N5" s="21" t="s">
        <v>92</v>
      </c>
      <c r="O5" s="21" t="s">
        <v>93</v>
      </c>
      <c r="P5" s="21" t="s">
        <v>94</v>
      </c>
      <c r="Q5" s="21" t="s">
        <v>95</v>
      </c>
      <c r="R5" s="21" t="s">
        <v>96</v>
      </c>
      <c r="S5" s="21" t="s">
        <v>97</v>
      </c>
    </row>
    <row r="6" spans="1:19">
      <c r="A6" s="13" t="s">
        <v>98</v>
      </c>
      <c r="B6" s="15" t="s">
        <v>99</v>
      </c>
      <c r="C6" s="76">
        <v>5756</v>
      </c>
      <c r="D6" s="76">
        <v>2731</v>
      </c>
      <c r="E6" s="76">
        <v>0</v>
      </c>
      <c r="F6" s="76">
        <v>796</v>
      </c>
      <c r="G6" s="76">
        <v>1</v>
      </c>
      <c r="H6" s="76">
        <v>649</v>
      </c>
      <c r="I6" s="76">
        <v>97</v>
      </c>
      <c r="J6" s="76">
        <v>49</v>
      </c>
      <c r="K6" s="76">
        <v>0</v>
      </c>
      <c r="L6" s="76">
        <v>70</v>
      </c>
      <c r="M6" s="76">
        <v>0</v>
      </c>
      <c r="N6" s="76">
        <v>2089</v>
      </c>
      <c r="O6" s="76">
        <v>0</v>
      </c>
      <c r="P6" s="76">
        <v>0</v>
      </c>
      <c r="Q6" s="76">
        <v>0</v>
      </c>
      <c r="R6" s="76">
        <v>62</v>
      </c>
      <c r="S6" s="76">
        <v>9</v>
      </c>
    </row>
    <row r="7" spans="1:19">
      <c r="A7" s="5" t="s">
        <v>100</v>
      </c>
      <c r="B7" s="16" t="s">
        <v>101</v>
      </c>
      <c r="C7" s="76">
        <v>3369</v>
      </c>
      <c r="D7" s="76">
        <v>2731</v>
      </c>
      <c r="E7" s="76">
        <v>0</v>
      </c>
      <c r="F7" s="76">
        <v>638</v>
      </c>
      <c r="G7" s="76">
        <v>1</v>
      </c>
      <c r="H7" s="76">
        <v>491</v>
      </c>
      <c r="I7" s="76">
        <v>97</v>
      </c>
      <c r="J7" s="76">
        <v>49</v>
      </c>
      <c r="K7" s="76">
        <v>0</v>
      </c>
      <c r="L7" s="76">
        <v>0</v>
      </c>
      <c r="M7" s="76">
        <v>0</v>
      </c>
      <c r="N7" s="76">
        <v>0</v>
      </c>
      <c r="O7" s="76">
        <v>0</v>
      </c>
      <c r="P7" s="76">
        <v>0</v>
      </c>
      <c r="Q7" s="76">
        <v>0</v>
      </c>
      <c r="R7" s="76">
        <v>0</v>
      </c>
      <c r="S7" s="76">
        <v>0</v>
      </c>
    </row>
    <row r="8" spans="1:19">
      <c r="A8" s="5" t="s">
        <v>102</v>
      </c>
      <c r="B8" s="16" t="s">
        <v>103</v>
      </c>
      <c r="C8" s="76">
        <v>1056</v>
      </c>
      <c r="D8" s="76">
        <v>1056</v>
      </c>
      <c r="E8" s="76">
        <v>0</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804</v>
      </c>
      <c r="D9" s="76">
        <v>804</v>
      </c>
      <c r="E9" s="76">
        <v>0</v>
      </c>
      <c r="F9" s="76">
        <v>0</v>
      </c>
      <c r="G9" s="76">
        <v>0</v>
      </c>
      <c r="H9" s="76">
        <v>0</v>
      </c>
      <c r="I9" s="76">
        <v>0</v>
      </c>
      <c r="J9" s="76">
        <v>0</v>
      </c>
      <c r="K9" s="76">
        <v>0</v>
      </c>
      <c r="L9" s="76">
        <v>0</v>
      </c>
      <c r="M9" s="76">
        <v>0</v>
      </c>
      <c r="N9" s="76">
        <v>0</v>
      </c>
      <c r="O9" s="76">
        <v>0</v>
      </c>
      <c r="P9" s="76">
        <v>0</v>
      </c>
      <c r="Q9" s="76">
        <v>0</v>
      </c>
      <c r="R9" s="76">
        <v>0</v>
      </c>
      <c r="S9" s="76">
        <v>0</v>
      </c>
    </row>
    <row r="10" spans="1:19">
      <c r="A10" s="5" t="s">
        <v>106</v>
      </c>
      <c r="B10" s="16" t="s">
        <v>107</v>
      </c>
      <c r="C10" s="76">
        <v>1411</v>
      </c>
      <c r="D10" s="76">
        <v>871</v>
      </c>
      <c r="E10" s="76">
        <v>0</v>
      </c>
      <c r="F10" s="76">
        <v>540</v>
      </c>
      <c r="G10" s="76">
        <v>1</v>
      </c>
      <c r="H10" s="76">
        <v>489</v>
      </c>
      <c r="I10" s="76">
        <v>0</v>
      </c>
      <c r="J10" s="76">
        <v>49</v>
      </c>
      <c r="K10" s="76">
        <v>0</v>
      </c>
      <c r="L10" s="76">
        <v>0</v>
      </c>
      <c r="M10" s="76">
        <v>0</v>
      </c>
      <c r="N10" s="76">
        <v>0</v>
      </c>
      <c r="O10" s="76">
        <v>0</v>
      </c>
      <c r="P10" s="76">
        <v>0</v>
      </c>
      <c r="Q10" s="76">
        <v>0</v>
      </c>
      <c r="R10" s="76">
        <v>0</v>
      </c>
      <c r="S10" s="76">
        <v>0</v>
      </c>
    </row>
    <row r="11" spans="1:19">
      <c r="A11" s="5" t="s">
        <v>108</v>
      </c>
      <c r="B11" s="16" t="s">
        <v>109</v>
      </c>
      <c r="C11" s="76">
        <v>1411</v>
      </c>
      <c r="D11" s="76">
        <v>871</v>
      </c>
      <c r="E11" s="76">
        <v>0</v>
      </c>
      <c r="F11" s="76">
        <v>540</v>
      </c>
      <c r="G11" s="76">
        <v>1</v>
      </c>
      <c r="H11" s="76">
        <v>489</v>
      </c>
      <c r="I11" s="76">
        <v>0</v>
      </c>
      <c r="J11" s="76">
        <v>49</v>
      </c>
      <c r="K11" s="76">
        <v>0</v>
      </c>
      <c r="L11" s="76">
        <v>0</v>
      </c>
      <c r="M11" s="76">
        <v>0</v>
      </c>
      <c r="N11" s="76">
        <v>0</v>
      </c>
      <c r="O11" s="76">
        <v>0</v>
      </c>
      <c r="P11" s="76">
        <v>0</v>
      </c>
      <c r="Q11" s="76">
        <v>0</v>
      </c>
      <c r="R11" s="76">
        <v>0</v>
      </c>
      <c r="S11" s="76">
        <v>0</v>
      </c>
    </row>
    <row r="12" spans="1:19">
      <c r="A12" s="5" t="s">
        <v>110</v>
      </c>
      <c r="B12" s="16" t="s">
        <v>111</v>
      </c>
      <c r="C12" s="76">
        <v>1</v>
      </c>
      <c r="D12" s="76">
        <v>0</v>
      </c>
      <c r="E12" s="76">
        <v>0</v>
      </c>
      <c r="F12" s="76">
        <v>1</v>
      </c>
      <c r="G12" s="76">
        <v>1</v>
      </c>
      <c r="H12" s="76">
        <v>0</v>
      </c>
      <c r="I12" s="76">
        <v>0</v>
      </c>
      <c r="J12" s="76">
        <v>0</v>
      </c>
      <c r="K12" s="76">
        <v>0</v>
      </c>
      <c r="L12" s="76">
        <v>0</v>
      </c>
      <c r="M12" s="76">
        <v>0</v>
      </c>
      <c r="N12" s="76">
        <v>0</v>
      </c>
      <c r="O12" s="76">
        <v>0</v>
      </c>
      <c r="P12" s="76">
        <v>0</v>
      </c>
      <c r="Q12" s="76">
        <v>0</v>
      </c>
      <c r="R12" s="76">
        <v>0</v>
      </c>
      <c r="S12" s="76">
        <v>0</v>
      </c>
    </row>
    <row r="13" spans="1:19">
      <c r="A13" s="5" t="s">
        <v>112</v>
      </c>
      <c r="B13" s="16" t="s">
        <v>113</v>
      </c>
      <c r="C13" s="76">
        <v>489</v>
      </c>
      <c r="D13" s="76">
        <v>0</v>
      </c>
      <c r="E13" s="76">
        <v>0</v>
      </c>
      <c r="F13" s="76">
        <v>489</v>
      </c>
      <c r="G13" s="76">
        <v>0</v>
      </c>
      <c r="H13" s="76">
        <v>489</v>
      </c>
      <c r="I13" s="76">
        <v>0</v>
      </c>
      <c r="J13" s="76">
        <v>0</v>
      </c>
      <c r="K13" s="76">
        <v>0</v>
      </c>
      <c r="L13" s="76">
        <v>0</v>
      </c>
      <c r="M13" s="76">
        <v>0</v>
      </c>
      <c r="N13" s="76">
        <v>0</v>
      </c>
      <c r="O13" s="76">
        <v>0</v>
      </c>
      <c r="P13" s="76">
        <v>0</v>
      </c>
      <c r="Q13" s="76">
        <v>0</v>
      </c>
      <c r="R13" s="76">
        <v>0</v>
      </c>
      <c r="S13" s="76">
        <v>0</v>
      </c>
    </row>
    <row r="14" spans="1:19">
      <c r="A14" s="5" t="s">
        <v>114</v>
      </c>
      <c r="B14" s="16" t="s">
        <v>115</v>
      </c>
      <c r="C14" s="76">
        <v>871</v>
      </c>
      <c r="D14" s="76">
        <v>871</v>
      </c>
      <c r="E14" s="76">
        <v>0</v>
      </c>
      <c r="F14" s="76">
        <v>0</v>
      </c>
      <c r="G14" s="76">
        <v>0</v>
      </c>
      <c r="H14" s="76">
        <v>0</v>
      </c>
      <c r="I14" s="76">
        <v>0</v>
      </c>
      <c r="J14" s="76">
        <v>0</v>
      </c>
      <c r="K14" s="76">
        <v>0</v>
      </c>
      <c r="L14" s="76">
        <v>0</v>
      </c>
      <c r="M14" s="76">
        <v>0</v>
      </c>
      <c r="N14" s="76">
        <v>0</v>
      </c>
      <c r="O14" s="76">
        <v>0</v>
      </c>
      <c r="P14" s="76">
        <v>0</v>
      </c>
      <c r="Q14" s="76">
        <v>0</v>
      </c>
      <c r="R14" s="76">
        <v>0</v>
      </c>
      <c r="S14" s="76">
        <v>0</v>
      </c>
    </row>
    <row r="15" spans="1:19">
      <c r="A15" s="5" t="s">
        <v>116</v>
      </c>
      <c r="B15" s="16" t="s">
        <v>117</v>
      </c>
      <c r="C15" s="76">
        <v>49</v>
      </c>
      <c r="D15" s="76">
        <v>0</v>
      </c>
      <c r="E15" s="76">
        <v>0</v>
      </c>
      <c r="F15" s="76">
        <v>49</v>
      </c>
      <c r="G15" s="76">
        <v>0</v>
      </c>
      <c r="H15" s="76">
        <v>0</v>
      </c>
      <c r="I15" s="76">
        <v>0</v>
      </c>
      <c r="J15" s="76">
        <v>49</v>
      </c>
      <c r="K15" s="76">
        <v>0</v>
      </c>
      <c r="L15" s="76">
        <v>0</v>
      </c>
      <c r="M15" s="76">
        <v>0</v>
      </c>
      <c r="N15" s="76">
        <v>0</v>
      </c>
      <c r="O15" s="76">
        <v>0</v>
      </c>
      <c r="P15" s="76">
        <v>0</v>
      </c>
      <c r="Q15" s="76">
        <v>0</v>
      </c>
      <c r="R15" s="76">
        <v>0</v>
      </c>
      <c r="S15" s="76">
        <v>0</v>
      </c>
    </row>
    <row r="16" spans="1:19">
      <c r="A16" s="5" t="s">
        <v>118</v>
      </c>
      <c r="B16" s="16" t="s">
        <v>119</v>
      </c>
      <c r="C16" s="76">
        <v>0</v>
      </c>
      <c r="D16" s="76">
        <v>0</v>
      </c>
      <c r="E16" s="76">
        <v>0</v>
      </c>
      <c r="F16" s="76">
        <v>0</v>
      </c>
      <c r="G16" s="76">
        <v>0</v>
      </c>
      <c r="H16" s="76">
        <v>0</v>
      </c>
      <c r="I16" s="76">
        <v>0</v>
      </c>
      <c r="J16" s="76">
        <v>0</v>
      </c>
      <c r="K16" s="76">
        <v>0</v>
      </c>
      <c r="L16" s="76">
        <v>0</v>
      </c>
      <c r="M16" s="76">
        <v>0</v>
      </c>
      <c r="N16" s="76">
        <v>0</v>
      </c>
      <c r="O16" s="76">
        <v>0</v>
      </c>
      <c r="P16" s="76">
        <v>0</v>
      </c>
      <c r="Q16" s="76">
        <v>0</v>
      </c>
      <c r="R16" s="76">
        <v>0</v>
      </c>
      <c r="S16" s="76">
        <v>0</v>
      </c>
    </row>
    <row r="17" spans="1:19">
      <c r="A17" s="5" t="s">
        <v>120</v>
      </c>
      <c r="B17" s="16" t="s">
        <v>121</v>
      </c>
      <c r="C17" s="76">
        <v>99</v>
      </c>
      <c r="D17" s="76">
        <v>0</v>
      </c>
      <c r="E17" s="76">
        <v>0</v>
      </c>
      <c r="F17" s="76">
        <v>99</v>
      </c>
      <c r="G17" s="76">
        <v>0</v>
      </c>
      <c r="H17" s="76">
        <v>2</v>
      </c>
      <c r="I17" s="76">
        <v>97</v>
      </c>
      <c r="J17" s="76">
        <v>0</v>
      </c>
      <c r="K17" s="76">
        <v>0</v>
      </c>
      <c r="L17" s="76">
        <v>0</v>
      </c>
      <c r="M17" s="76">
        <v>0</v>
      </c>
      <c r="N17" s="76">
        <v>0</v>
      </c>
      <c r="O17" s="76">
        <v>0</v>
      </c>
      <c r="P17" s="76">
        <v>0</v>
      </c>
      <c r="Q17" s="76">
        <v>0</v>
      </c>
      <c r="R17" s="76">
        <v>0</v>
      </c>
      <c r="S17" s="76">
        <v>0</v>
      </c>
    </row>
    <row r="18" spans="1:19">
      <c r="A18" s="5" t="s">
        <v>122</v>
      </c>
      <c r="B18" s="16" t="s">
        <v>123</v>
      </c>
      <c r="C18" s="76">
        <v>99</v>
      </c>
      <c r="D18" s="76">
        <v>0</v>
      </c>
      <c r="E18" s="76">
        <v>0</v>
      </c>
      <c r="F18" s="76">
        <v>99</v>
      </c>
      <c r="G18" s="76">
        <v>0</v>
      </c>
      <c r="H18" s="76">
        <v>2</v>
      </c>
      <c r="I18" s="76">
        <v>97</v>
      </c>
      <c r="J18" s="76">
        <v>0</v>
      </c>
      <c r="K18" s="76">
        <v>0</v>
      </c>
      <c r="L18" s="76">
        <v>0</v>
      </c>
      <c r="M18" s="76">
        <v>0</v>
      </c>
      <c r="N18" s="76">
        <v>0</v>
      </c>
      <c r="O18" s="76">
        <v>0</v>
      </c>
      <c r="P18" s="76">
        <v>0</v>
      </c>
      <c r="Q18" s="76">
        <v>0</v>
      </c>
      <c r="R18" s="76">
        <v>0</v>
      </c>
      <c r="S18" s="76">
        <v>0</v>
      </c>
    </row>
    <row r="19" spans="1:19">
      <c r="A19" s="5" t="s">
        <v>124</v>
      </c>
      <c r="B19" s="16" t="s">
        <v>125</v>
      </c>
      <c r="C19" s="76">
        <v>0</v>
      </c>
      <c r="D19" s="76">
        <v>0</v>
      </c>
      <c r="E19" s="76">
        <v>0</v>
      </c>
      <c r="F19" s="76">
        <v>0</v>
      </c>
      <c r="G19" s="76">
        <v>0</v>
      </c>
      <c r="H19" s="76">
        <v>0</v>
      </c>
      <c r="I19" s="76">
        <v>0</v>
      </c>
      <c r="J19" s="76">
        <v>0</v>
      </c>
      <c r="K19" s="76">
        <v>0</v>
      </c>
      <c r="L19" s="76">
        <v>0</v>
      </c>
      <c r="M19" s="76">
        <v>0</v>
      </c>
      <c r="N19" s="76">
        <v>0</v>
      </c>
      <c r="O19" s="76">
        <v>0</v>
      </c>
      <c r="P19" s="76">
        <v>0</v>
      </c>
      <c r="Q19" s="76">
        <v>0</v>
      </c>
      <c r="R19" s="76">
        <v>0</v>
      </c>
      <c r="S19" s="76">
        <v>0</v>
      </c>
    </row>
    <row r="20" spans="1:19">
      <c r="A20" s="5" t="s">
        <v>342</v>
      </c>
      <c r="B20" s="16" t="s">
        <v>126</v>
      </c>
      <c r="C20" s="76">
        <v>0</v>
      </c>
      <c r="D20" s="76">
        <v>0</v>
      </c>
      <c r="E20" s="76">
        <v>0</v>
      </c>
      <c r="F20" s="76">
        <v>0</v>
      </c>
      <c r="G20" s="76">
        <v>0</v>
      </c>
      <c r="H20" s="76">
        <v>0</v>
      </c>
      <c r="I20" s="76">
        <v>0</v>
      </c>
      <c r="J20" s="76">
        <v>0</v>
      </c>
      <c r="K20" s="76">
        <v>0</v>
      </c>
      <c r="L20" s="76">
        <v>0</v>
      </c>
      <c r="M20" s="76">
        <v>0</v>
      </c>
      <c r="N20" s="76">
        <v>0</v>
      </c>
      <c r="O20" s="76">
        <v>0</v>
      </c>
      <c r="P20" s="76">
        <v>0</v>
      </c>
      <c r="Q20" s="76">
        <v>0</v>
      </c>
      <c r="R20" s="76">
        <v>0</v>
      </c>
      <c r="S20" s="76">
        <v>0</v>
      </c>
    </row>
    <row r="21" spans="1:19">
      <c r="A21" s="5" t="s">
        <v>343</v>
      </c>
      <c r="B21" s="16" t="s">
        <v>127</v>
      </c>
      <c r="C21" s="76">
        <v>0</v>
      </c>
      <c r="D21" s="76">
        <v>0</v>
      </c>
      <c r="E21" s="76">
        <v>0</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0</v>
      </c>
      <c r="D22" s="76">
        <v>0</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0</v>
      </c>
      <c r="D23" s="76">
        <v>0</v>
      </c>
      <c r="E23" s="76">
        <v>0</v>
      </c>
      <c r="F23" s="76">
        <v>0</v>
      </c>
      <c r="G23" s="76">
        <v>0</v>
      </c>
      <c r="H23" s="76">
        <v>0</v>
      </c>
      <c r="I23" s="76">
        <v>0</v>
      </c>
      <c r="J23" s="76">
        <v>0</v>
      </c>
      <c r="K23" s="76">
        <v>0</v>
      </c>
      <c r="L23" s="76">
        <v>0</v>
      </c>
      <c r="M23" s="76">
        <v>0</v>
      </c>
      <c r="N23" s="76">
        <v>0</v>
      </c>
      <c r="O23" s="76">
        <v>0</v>
      </c>
      <c r="P23" s="76">
        <v>0</v>
      </c>
      <c r="Q23" s="76">
        <v>0</v>
      </c>
      <c r="R23" s="76">
        <v>0</v>
      </c>
      <c r="S23" s="76">
        <v>0</v>
      </c>
    </row>
    <row r="24" spans="1:19">
      <c r="A24" s="5" t="s">
        <v>346</v>
      </c>
      <c r="B24" s="16" t="s">
        <v>130</v>
      </c>
      <c r="C24" s="76">
        <v>0</v>
      </c>
      <c r="D24" s="76">
        <v>0</v>
      </c>
      <c r="E24" s="76">
        <v>0</v>
      </c>
      <c r="F24" s="76">
        <v>0</v>
      </c>
      <c r="G24" s="76">
        <v>0</v>
      </c>
      <c r="H24" s="76">
        <v>0</v>
      </c>
      <c r="I24" s="76">
        <v>0</v>
      </c>
      <c r="J24" s="76">
        <v>0</v>
      </c>
      <c r="K24" s="76">
        <v>0</v>
      </c>
      <c r="L24" s="76">
        <v>0</v>
      </c>
      <c r="M24" s="76">
        <v>0</v>
      </c>
      <c r="N24" s="76">
        <v>0</v>
      </c>
      <c r="O24" s="76">
        <v>0</v>
      </c>
      <c r="P24" s="76">
        <v>0</v>
      </c>
      <c r="Q24" s="76">
        <v>0</v>
      </c>
      <c r="R24" s="76">
        <v>0</v>
      </c>
      <c r="S24" s="76">
        <v>0</v>
      </c>
    </row>
    <row r="25" spans="1:19">
      <c r="A25" s="5" t="s">
        <v>347</v>
      </c>
      <c r="B25" s="16" t="s">
        <v>131</v>
      </c>
      <c r="C25" s="76">
        <v>0</v>
      </c>
      <c r="D25" s="76">
        <v>0</v>
      </c>
      <c r="E25" s="76">
        <v>0</v>
      </c>
      <c r="F25" s="76">
        <v>0</v>
      </c>
      <c r="G25" s="76">
        <v>0</v>
      </c>
      <c r="H25" s="76">
        <v>0</v>
      </c>
      <c r="I25" s="76">
        <v>0</v>
      </c>
      <c r="J25" s="76">
        <v>0</v>
      </c>
      <c r="K25" s="76">
        <v>0</v>
      </c>
      <c r="L25" s="76">
        <v>0</v>
      </c>
      <c r="M25" s="76">
        <v>0</v>
      </c>
      <c r="N25" s="76">
        <v>0</v>
      </c>
      <c r="O25" s="76">
        <v>0</v>
      </c>
      <c r="P25" s="76">
        <v>0</v>
      </c>
      <c r="Q25" s="76">
        <v>0</v>
      </c>
      <c r="R25" s="76">
        <v>0</v>
      </c>
      <c r="S25" s="76">
        <v>0</v>
      </c>
    </row>
    <row r="26" spans="1:19">
      <c r="A26" s="5" t="s">
        <v>348</v>
      </c>
      <c r="B26" s="16" t="s">
        <v>132</v>
      </c>
      <c r="C26" s="76">
        <v>70</v>
      </c>
      <c r="D26" s="76">
        <v>0</v>
      </c>
      <c r="E26" s="76">
        <v>0</v>
      </c>
      <c r="F26" s="76">
        <v>0</v>
      </c>
      <c r="G26" s="76">
        <v>0</v>
      </c>
      <c r="H26" s="76">
        <v>0</v>
      </c>
      <c r="I26" s="76">
        <v>0</v>
      </c>
      <c r="J26" s="76">
        <v>0</v>
      </c>
      <c r="K26" s="76">
        <v>0</v>
      </c>
      <c r="L26" s="76">
        <v>70</v>
      </c>
      <c r="M26" s="76">
        <v>0</v>
      </c>
      <c r="N26" s="76">
        <v>0</v>
      </c>
      <c r="O26" s="76">
        <v>0</v>
      </c>
      <c r="P26" s="76">
        <v>0</v>
      </c>
      <c r="Q26" s="76">
        <v>0</v>
      </c>
      <c r="R26" s="76">
        <v>0</v>
      </c>
      <c r="S26" s="76">
        <v>0</v>
      </c>
    </row>
    <row r="27" spans="1:19">
      <c r="A27" s="5" t="s">
        <v>349</v>
      </c>
      <c r="B27" s="16" t="s">
        <v>133</v>
      </c>
      <c r="C27" s="76">
        <v>0</v>
      </c>
      <c r="D27" s="76">
        <v>0</v>
      </c>
      <c r="E27" s="76">
        <v>0</v>
      </c>
      <c r="F27" s="76">
        <v>0</v>
      </c>
      <c r="G27" s="76">
        <v>0</v>
      </c>
      <c r="H27" s="76">
        <v>0</v>
      </c>
      <c r="I27" s="76">
        <v>0</v>
      </c>
      <c r="J27" s="76">
        <v>0</v>
      </c>
      <c r="K27" s="76">
        <v>0</v>
      </c>
      <c r="L27" s="76">
        <v>0</v>
      </c>
      <c r="M27" s="76">
        <v>0</v>
      </c>
      <c r="N27" s="76">
        <v>0</v>
      </c>
      <c r="O27" s="76">
        <v>0</v>
      </c>
      <c r="P27" s="76">
        <v>0</v>
      </c>
      <c r="Q27" s="76">
        <v>0</v>
      </c>
      <c r="R27" s="76">
        <v>0</v>
      </c>
      <c r="S27" s="76">
        <v>0</v>
      </c>
    </row>
    <row r="28" spans="1:19">
      <c r="A28" s="5" t="s">
        <v>350</v>
      </c>
      <c r="B28" s="16" t="s">
        <v>134</v>
      </c>
      <c r="C28" s="76">
        <v>0</v>
      </c>
      <c r="D28" s="76">
        <v>0</v>
      </c>
      <c r="E28" s="76">
        <v>0</v>
      </c>
      <c r="F28" s="76">
        <v>0</v>
      </c>
      <c r="G28" s="76">
        <v>0</v>
      </c>
      <c r="H28" s="76">
        <v>0</v>
      </c>
      <c r="I28" s="76">
        <v>0</v>
      </c>
      <c r="J28" s="76">
        <v>0</v>
      </c>
      <c r="K28" s="76">
        <v>0</v>
      </c>
      <c r="L28" s="76">
        <v>0</v>
      </c>
      <c r="M28" s="76">
        <v>0</v>
      </c>
      <c r="N28" s="76">
        <v>0</v>
      </c>
      <c r="O28" s="76">
        <v>0</v>
      </c>
      <c r="P28" s="76">
        <v>0</v>
      </c>
      <c r="Q28" s="76">
        <v>0</v>
      </c>
      <c r="R28" s="76">
        <v>0</v>
      </c>
      <c r="S28" s="76">
        <v>0</v>
      </c>
    </row>
    <row r="29" spans="1:19">
      <c r="A29" s="5" t="s">
        <v>351</v>
      </c>
      <c r="B29" s="16" t="s">
        <v>135</v>
      </c>
      <c r="C29" s="76">
        <v>0</v>
      </c>
      <c r="D29" s="76">
        <v>0</v>
      </c>
      <c r="E29" s="76">
        <v>0</v>
      </c>
      <c r="F29" s="76">
        <v>0</v>
      </c>
      <c r="G29" s="76">
        <v>0</v>
      </c>
      <c r="H29" s="76">
        <v>0</v>
      </c>
      <c r="I29" s="76">
        <v>0</v>
      </c>
      <c r="J29" s="76">
        <v>0</v>
      </c>
      <c r="K29" s="76">
        <v>0</v>
      </c>
      <c r="L29" s="76">
        <v>0</v>
      </c>
      <c r="M29" s="76">
        <v>0</v>
      </c>
      <c r="N29" s="76">
        <v>0</v>
      </c>
      <c r="O29" s="76">
        <v>0</v>
      </c>
      <c r="P29" s="76">
        <v>0</v>
      </c>
      <c r="Q29" s="76">
        <v>0</v>
      </c>
      <c r="R29" s="76">
        <v>0</v>
      </c>
      <c r="S29" s="76">
        <v>0</v>
      </c>
    </row>
    <row r="30" spans="1:19">
      <c r="A30" s="5" t="s">
        <v>352</v>
      </c>
      <c r="B30" s="16" t="s">
        <v>136</v>
      </c>
      <c r="C30" s="76">
        <v>0</v>
      </c>
      <c r="D30" s="76">
        <v>0</v>
      </c>
      <c r="E30" s="76">
        <v>0</v>
      </c>
      <c r="F30" s="76">
        <v>0</v>
      </c>
      <c r="G30" s="76">
        <v>0</v>
      </c>
      <c r="H30" s="76">
        <v>0</v>
      </c>
      <c r="I30" s="76">
        <v>0</v>
      </c>
      <c r="J30" s="76">
        <v>0</v>
      </c>
      <c r="K30" s="76">
        <v>0</v>
      </c>
      <c r="L30" s="76">
        <v>0</v>
      </c>
      <c r="M30" s="76">
        <v>0</v>
      </c>
      <c r="N30" s="76">
        <v>0</v>
      </c>
      <c r="O30" s="76">
        <v>0</v>
      </c>
      <c r="P30" s="76">
        <v>0</v>
      </c>
      <c r="Q30" s="76">
        <v>0</v>
      </c>
      <c r="R30" s="76">
        <v>0</v>
      </c>
      <c r="S30" s="76">
        <v>0</v>
      </c>
    </row>
    <row r="31" spans="1:19">
      <c r="A31" s="5" t="s">
        <v>353</v>
      </c>
      <c r="B31" s="16" t="s">
        <v>137</v>
      </c>
      <c r="C31" s="76">
        <v>70</v>
      </c>
      <c r="D31" s="76">
        <v>0</v>
      </c>
      <c r="E31" s="76">
        <v>0</v>
      </c>
      <c r="F31" s="76">
        <v>0</v>
      </c>
      <c r="G31" s="76">
        <v>0</v>
      </c>
      <c r="H31" s="76">
        <v>0</v>
      </c>
      <c r="I31" s="76">
        <v>0</v>
      </c>
      <c r="J31" s="76">
        <v>0</v>
      </c>
      <c r="K31" s="76">
        <v>0</v>
      </c>
      <c r="L31" s="76">
        <v>70</v>
      </c>
      <c r="M31" s="76">
        <v>0</v>
      </c>
      <c r="N31" s="76">
        <v>0</v>
      </c>
      <c r="O31" s="76">
        <v>0</v>
      </c>
      <c r="P31" s="76">
        <v>0</v>
      </c>
      <c r="Q31" s="76">
        <v>0</v>
      </c>
      <c r="R31" s="76">
        <v>0</v>
      </c>
      <c r="S31" s="76">
        <v>0</v>
      </c>
    </row>
    <row r="32" spans="1:19">
      <c r="A32" s="5" t="s">
        <v>354</v>
      </c>
      <c r="B32" s="16" t="s">
        <v>138</v>
      </c>
      <c r="C32" s="76">
        <v>158</v>
      </c>
      <c r="D32" s="76">
        <v>0</v>
      </c>
      <c r="E32" s="76">
        <v>0</v>
      </c>
      <c r="F32" s="76">
        <v>158</v>
      </c>
      <c r="G32" s="76">
        <v>0</v>
      </c>
      <c r="H32" s="76">
        <v>158</v>
      </c>
      <c r="I32" s="76">
        <v>0</v>
      </c>
      <c r="J32" s="76">
        <v>0</v>
      </c>
      <c r="K32" s="76">
        <v>0</v>
      </c>
      <c r="L32" s="76">
        <v>0</v>
      </c>
      <c r="M32" s="76">
        <v>0</v>
      </c>
      <c r="N32" s="76">
        <v>0</v>
      </c>
      <c r="O32" s="76">
        <v>0</v>
      </c>
      <c r="P32" s="76">
        <v>0</v>
      </c>
      <c r="Q32" s="76">
        <v>0</v>
      </c>
      <c r="R32" s="76">
        <v>0</v>
      </c>
      <c r="S32" s="76">
        <v>0</v>
      </c>
    </row>
    <row r="33" spans="1:19">
      <c r="A33" s="5" t="s">
        <v>355</v>
      </c>
      <c r="B33" s="16" t="s">
        <v>139</v>
      </c>
      <c r="C33" s="76">
        <v>0</v>
      </c>
      <c r="D33" s="76">
        <v>0</v>
      </c>
      <c r="E33" s="76">
        <v>0</v>
      </c>
      <c r="F33" s="76">
        <v>0</v>
      </c>
      <c r="G33" s="76">
        <v>0</v>
      </c>
      <c r="H33" s="76">
        <v>0</v>
      </c>
      <c r="I33" s="76">
        <v>0</v>
      </c>
      <c r="J33" s="76">
        <v>0</v>
      </c>
      <c r="K33" s="76">
        <v>0</v>
      </c>
      <c r="L33" s="76">
        <v>0</v>
      </c>
      <c r="M33" s="76">
        <v>0</v>
      </c>
      <c r="N33" s="76">
        <v>0</v>
      </c>
      <c r="O33" s="76">
        <v>0</v>
      </c>
      <c r="P33" s="76">
        <v>0</v>
      </c>
      <c r="Q33" s="76">
        <v>0</v>
      </c>
      <c r="R33" s="76">
        <v>0</v>
      </c>
      <c r="S33" s="76">
        <v>0</v>
      </c>
    </row>
    <row r="34" spans="1:19">
      <c r="A34" s="5" t="s">
        <v>356</v>
      </c>
      <c r="B34" s="16" t="s">
        <v>140</v>
      </c>
      <c r="C34" s="76">
        <v>0</v>
      </c>
      <c r="D34" s="76">
        <v>0</v>
      </c>
      <c r="E34" s="76">
        <v>0</v>
      </c>
      <c r="F34" s="76">
        <v>0</v>
      </c>
      <c r="G34" s="76">
        <v>0</v>
      </c>
      <c r="H34" s="76">
        <v>0</v>
      </c>
      <c r="I34" s="76">
        <v>0</v>
      </c>
      <c r="J34" s="76">
        <v>0</v>
      </c>
      <c r="K34" s="76">
        <v>0</v>
      </c>
      <c r="L34" s="76">
        <v>0</v>
      </c>
      <c r="M34" s="76">
        <v>0</v>
      </c>
      <c r="N34" s="76">
        <v>0</v>
      </c>
      <c r="O34" s="76">
        <v>0</v>
      </c>
      <c r="P34" s="76">
        <v>0</v>
      </c>
      <c r="Q34" s="76">
        <v>0</v>
      </c>
      <c r="R34" s="76">
        <v>0</v>
      </c>
      <c r="S34" s="76">
        <v>0</v>
      </c>
    </row>
    <row r="35" spans="1:19">
      <c r="A35" s="5" t="s">
        <v>357</v>
      </c>
      <c r="B35" s="16" t="s">
        <v>141</v>
      </c>
      <c r="C35" s="76">
        <v>0</v>
      </c>
      <c r="D35" s="76">
        <v>0</v>
      </c>
      <c r="E35" s="76">
        <v>0</v>
      </c>
      <c r="F35" s="76">
        <v>0</v>
      </c>
      <c r="G35" s="76">
        <v>0</v>
      </c>
      <c r="H35" s="76">
        <v>0</v>
      </c>
      <c r="I35" s="76">
        <v>0</v>
      </c>
      <c r="J35" s="76">
        <v>0</v>
      </c>
      <c r="K35" s="76">
        <v>0</v>
      </c>
      <c r="L35" s="76">
        <v>0</v>
      </c>
      <c r="M35" s="76">
        <v>0</v>
      </c>
      <c r="N35" s="76">
        <v>0</v>
      </c>
      <c r="O35" s="76">
        <v>0</v>
      </c>
      <c r="P35" s="76">
        <v>0</v>
      </c>
      <c r="Q35" s="76">
        <v>0</v>
      </c>
      <c r="R35" s="76">
        <v>0</v>
      </c>
      <c r="S35" s="76">
        <v>0</v>
      </c>
    </row>
    <row r="36" spans="1:19">
      <c r="A36" s="5" t="s">
        <v>358</v>
      </c>
      <c r="B36" s="16" t="s">
        <v>142</v>
      </c>
      <c r="C36" s="76">
        <v>158</v>
      </c>
      <c r="D36" s="76">
        <v>0</v>
      </c>
      <c r="E36" s="76">
        <v>0</v>
      </c>
      <c r="F36" s="76">
        <v>158</v>
      </c>
      <c r="G36" s="76">
        <v>0</v>
      </c>
      <c r="H36" s="76">
        <v>158</v>
      </c>
      <c r="I36" s="76">
        <v>0</v>
      </c>
      <c r="J36" s="76">
        <v>0</v>
      </c>
      <c r="K36" s="76">
        <v>0</v>
      </c>
      <c r="L36" s="76">
        <v>0</v>
      </c>
      <c r="M36" s="76">
        <v>0</v>
      </c>
      <c r="N36" s="76">
        <v>0</v>
      </c>
      <c r="O36" s="76">
        <v>0</v>
      </c>
      <c r="P36" s="76">
        <v>0</v>
      </c>
      <c r="Q36" s="76">
        <v>0</v>
      </c>
      <c r="R36" s="76">
        <v>0</v>
      </c>
      <c r="S36" s="76">
        <v>0</v>
      </c>
    </row>
    <row r="37" spans="1:19">
      <c r="A37" s="5" t="s">
        <v>359</v>
      </c>
      <c r="B37" s="16" t="s">
        <v>143</v>
      </c>
      <c r="C37" s="76">
        <v>0</v>
      </c>
      <c r="D37" s="76">
        <v>0</v>
      </c>
      <c r="E37" s="76">
        <v>0</v>
      </c>
      <c r="F37" s="76">
        <v>0</v>
      </c>
      <c r="G37" s="76">
        <v>0</v>
      </c>
      <c r="H37" s="76">
        <v>0</v>
      </c>
      <c r="I37" s="76">
        <v>0</v>
      </c>
      <c r="J37" s="76">
        <v>0</v>
      </c>
      <c r="K37" s="76">
        <v>0</v>
      </c>
      <c r="L37" s="76">
        <v>0</v>
      </c>
      <c r="M37" s="76">
        <v>0</v>
      </c>
      <c r="N37" s="76">
        <v>0</v>
      </c>
      <c r="O37" s="76">
        <v>0</v>
      </c>
      <c r="P37" s="76">
        <v>0</v>
      </c>
      <c r="Q37" s="76">
        <v>0</v>
      </c>
      <c r="R37" s="76">
        <v>0</v>
      </c>
      <c r="S37" s="76">
        <v>0</v>
      </c>
    </row>
    <row r="38" spans="1:19">
      <c r="A38" s="5" t="s">
        <v>360</v>
      </c>
      <c r="B38" s="16" t="s">
        <v>144</v>
      </c>
      <c r="C38" s="76">
        <v>2089</v>
      </c>
      <c r="D38" s="76">
        <v>0</v>
      </c>
      <c r="E38" s="76">
        <v>0</v>
      </c>
      <c r="F38" s="76">
        <v>0</v>
      </c>
      <c r="G38" s="76">
        <v>0</v>
      </c>
      <c r="H38" s="76">
        <v>0</v>
      </c>
      <c r="I38" s="76">
        <v>0</v>
      </c>
      <c r="J38" s="76">
        <v>0</v>
      </c>
      <c r="K38" s="76">
        <v>0</v>
      </c>
      <c r="L38" s="76">
        <v>0</v>
      </c>
      <c r="M38" s="76">
        <v>0</v>
      </c>
      <c r="N38" s="76">
        <v>2089</v>
      </c>
      <c r="O38" s="76">
        <v>0</v>
      </c>
      <c r="P38" s="76">
        <v>0</v>
      </c>
      <c r="Q38" s="76">
        <v>0</v>
      </c>
      <c r="R38" s="76">
        <v>0</v>
      </c>
      <c r="S38" s="76">
        <v>0</v>
      </c>
    </row>
    <row r="39" spans="1:19">
      <c r="A39" s="5" t="s">
        <v>361</v>
      </c>
      <c r="B39" s="16" t="s">
        <v>145</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0</v>
      </c>
    </row>
    <row r="40" spans="1:19">
      <c r="A40" s="5" t="s">
        <v>362</v>
      </c>
      <c r="B40" s="16" t="s">
        <v>146</v>
      </c>
      <c r="C40" s="76">
        <v>2089</v>
      </c>
      <c r="D40" s="76">
        <v>0</v>
      </c>
      <c r="E40" s="76">
        <v>0</v>
      </c>
      <c r="F40" s="76">
        <v>0</v>
      </c>
      <c r="G40" s="76">
        <v>0</v>
      </c>
      <c r="H40" s="76">
        <v>0</v>
      </c>
      <c r="I40" s="76">
        <v>0</v>
      </c>
      <c r="J40" s="76">
        <v>0</v>
      </c>
      <c r="K40" s="76">
        <v>0</v>
      </c>
      <c r="L40" s="76">
        <v>0</v>
      </c>
      <c r="M40" s="76">
        <v>0</v>
      </c>
      <c r="N40" s="76">
        <v>2089</v>
      </c>
      <c r="O40" s="76">
        <v>0</v>
      </c>
      <c r="P40" s="76">
        <v>0</v>
      </c>
      <c r="Q40" s="76">
        <v>0</v>
      </c>
      <c r="R40" s="76">
        <v>0</v>
      </c>
      <c r="S40" s="76">
        <v>0</v>
      </c>
    </row>
    <row r="41" spans="1:19">
      <c r="A41" s="5" t="s">
        <v>363</v>
      </c>
      <c r="B41" s="16" t="s">
        <v>97</v>
      </c>
      <c r="C41" s="76">
        <v>70</v>
      </c>
      <c r="D41" s="76">
        <v>0</v>
      </c>
      <c r="E41" s="76">
        <v>0</v>
      </c>
      <c r="F41" s="76">
        <v>0</v>
      </c>
      <c r="G41" s="76">
        <v>0</v>
      </c>
      <c r="H41" s="76">
        <v>0</v>
      </c>
      <c r="I41" s="76">
        <v>0</v>
      </c>
      <c r="J41" s="76">
        <v>0</v>
      </c>
      <c r="K41" s="76">
        <v>0</v>
      </c>
      <c r="L41" s="76">
        <v>0</v>
      </c>
      <c r="M41" s="76">
        <v>0</v>
      </c>
      <c r="N41" s="76">
        <v>0</v>
      </c>
      <c r="O41" s="76">
        <v>0</v>
      </c>
      <c r="P41" s="76">
        <v>0</v>
      </c>
      <c r="Q41" s="76">
        <v>0</v>
      </c>
      <c r="R41" s="76">
        <v>62</v>
      </c>
      <c r="S41" s="76">
        <v>9</v>
      </c>
    </row>
    <row r="42" spans="1:19">
      <c r="A42" t="s">
        <v>152</v>
      </c>
      <c r="C42" s="76"/>
    </row>
    <row r="43" spans="1:19" ht="32.549999999999997" customHeight="1">
      <c r="A43" s="1" t="s">
        <v>38</v>
      </c>
    </row>
    <row r="44" spans="1:19">
      <c r="A44" t="s">
        <v>51</v>
      </c>
      <c r="B44" s="18" t="s">
        <v>46</v>
      </c>
    </row>
    <row r="45" spans="1:19">
      <c r="A45" t="s">
        <v>52</v>
      </c>
      <c r="B45" s="18" t="s">
        <v>148</v>
      </c>
    </row>
    <row r="46" spans="1:19">
      <c r="A46" t="s">
        <v>53</v>
      </c>
      <c r="B46" s="18" t="s">
        <v>149</v>
      </c>
    </row>
    <row r="47" spans="1:19">
      <c r="A47" t="s">
        <v>54</v>
      </c>
      <c r="B47" s="18" t="s">
        <v>150</v>
      </c>
    </row>
    <row r="48" spans="1:19">
      <c r="A48" t="s">
        <v>329</v>
      </c>
      <c r="B48" s="19" t="s">
        <v>41</v>
      </c>
    </row>
    <row r="49" spans="1:2">
      <c r="A49" t="s">
        <v>55</v>
      </c>
      <c r="B49" s="18" t="s">
        <v>42</v>
      </c>
    </row>
    <row r="50" spans="1:2">
      <c r="A50" t="s">
        <v>56</v>
      </c>
      <c r="B50" s="18" t="s">
        <v>43</v>
      </c>
    </row>
    <row r="51" spans="1:2">
      <c r="A51" t="s">
        <v>332</v>
      </c>
      <c r="B51" s="19" t="s">
        <v>44</v>
      </c>
    </row>
    <row r="52" spans="1:2">
      <c r="A52" t="s">
        <v>57</v>
      </c>
      <c r="B52" s="18" t="s">
        <v>151</v>
      </c>
    </row>
    <row r="53" spans="1:2">
      <c r="A53" t="s">
        <v>58</v>
      </c>
      <c r="B53" s="18" t="s">
        <v>50</v>
      </c>
    </row>
  </sheetData>
  <hyperlinks>
    <hyperlink ref="B51" r:id="rId1" xr:uid="{6B832F75-2AEF-4890-84E4-9E19530FCA85}"/>
    <hyperlink ref="B48" r:id="rId2" display="https://www.ons.gov.uk/peoplepopulationandcommunity/healthandsocialcare/healthcaresystem/methodologies/introductiontohealthaccounts" xr:uid="{695027F0-F9CB-4F3C-A39E-02CCB0638AA4}"/>
  </hyperlinks>
  <pageMargins left="0.7" right="0.7" top="0.75" bottom="0.75" header="0.3" footer="0.3"/>
  <pageSetup paperSize="9" orientation="portrait"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88836-4CE8-4B4A-95E6-26FE44BAB54C}">
  <sheetPr>
    <tabColor theme="5" tint="0.59999389629810485"/>
  </sheetPr>
  <dimension ref="A1:S53"/>
  <sheetViews>
    <sheetView showGridLines="0" zoomScale="70" zoomScaleNormal="70" workbookViewId="0"/>
  </sheetViews>
  <sheetFormatPr defaultRowHeight="15"/>
  <cols>
    <col min="1" max="1" width="15.832031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369</v>
      </c>
    </row>
    <row r="2" spans="1:19" ht="22.5" customHeight="1">
      <c r="A2" s="11" t="s">
        <v>364</v>
      </c>
    </row>
    <row r="3" spans="1:19" ht="41" customHeight="1">
      <c r="A3" s="11" t="s">
        <v>64</v>
      </c>
    </row>
    <row r="4" spans="1:19" ht="38.549999999999997" customHeight="1">
      <c r="A4" s="88" t="s">
        <v>366</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367</v>
      </c>
      <c r="K5" s="21" t="s">
        <v>89</v>
      </c>
      <c r="L5" s="21" t="s">
        <v>90</v>
      </c>
      <c r="M5" s="21" t="s">
        <v>91</v>
      </c>
      <c r="N5" s="21" t="s">
        <v>92</v>
      </c>
      <c r="O5" s="21" t="s">
        <v>93</v>
      </c>
      <c r="P5" s="21" t="s">
        <v>94</v>
      </c>
      <c r="Q5" s="21" t="s">
        <v>95</v>
      </c>
      <c r="R5" s="21" t="s">
        <v>96</v>
      </c>
      <c r="S5" s="21" t="s">
        <v>97</v>
      </c>
    </row>
    <row r="6" spans="1:19">
      <c r="A6" s="13" t="s">
        <v>98</v>
      </c>
      <c r="B6" s="15" t="s">
        <v>99</v>
      </c>
      <c r="C6" s="76">
        <v>5491</v>
      </c>
      <c r="D6" s="76">
        <v>1415</v>
      </c>
      <c r="E6" s="76">
        <v>2095</v>
      </c>
      <c r="F6" s="76">
        <v>505</v>
      </c>
      <c r="G6" s="76">
        <v>0</v>
      </c>
      <c r="H6" s="76">
        <v>0</v>
      </c>
      <c r="I6" s="76">
        <v>205</v>
      </c>
      <c r="J6" s="76">
        <v>300</v>
      </c>
      <c r="K6" s="76">
        <v>762</v>
      </c>
      <c r="L6" s="76">
        <v>442</v>
      </c>
      <c r="M6" s="76">
        <v>206</v>
      </c>
      <c r="N6" s="76">
        <v>66</v>
      </c>
      <c r="O6" s="76">
        <v>0</v>
      </c>
      <c r="P6" s="76">
        <v>0</v>
      </c>
      <c r="Q6" s="76">
        <v>0</v>
      </c>
      <c r="R6" s="76">
        <v>0</v>
      </c>
      <c r="S6" s="76">
        <v>0</v>
      </c>
    </row>
    <row r="7" spans="1:19">
      <c r="A7" s="5" t="s">
        <v>100</v>
      </c>
      <c r="B7" s="16" t="s">
        <v>101</v>
      </c>
      <c r="C7" s="76">
        <v>2331</v>
      </c>
      <c r="D7" s="76">
        <v>1395</v>
      </c>
      <c r="E7" s="76">
        <v>61</v>
      </c>
      <c r="F7" s="76">
        <v>299</v>
      </c>
      <c r="G7" s="76">
        <v>0</v>
      </c>
      <c r="H7" s="76">
        <v>0</v>
      </c>
      <c r="I7" s="76">
        <v>0</v>
      </c>
      <c r="J7" s="76">
        <v>299</v>
      </c>
      <c r="K7" s="76">
        <v>576</v>
      </c>
      <c r="L7" s="76">
        <v>0</v>
      </c>
      <c r="M7" s="76">
        <v>0</v>
      </c>
      <c r="N7" s="76">
        <v>0</v>
      </c>
      <c r="O7" s="76">
        <v>0</v>
      </c>
      <c r="P7" s="76">
        <v>0</v>
      </c>
      <c r="Q7" s="76">
        <v>0</v>
      </c>
      <c r="R7" s="76">
        <v>0</v>
      </c>
      <c r="S7" s="76">
        <v>0</v>
      </c>
    </row>
    <row r="8" spans="1:19">
      <c r="A8" s="5" t="s">
        <v>102</v>
      </c>
      <c r="B8" s="16" t="s">
        <v>103</v>
      </c>
      <c r="C8" s="76">
        <v>1456</v>
      </c>
      <c r="D8" s="76">
        <v>1395</v>
      </c>
      <c r="E8" s="76">
        <v>61</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1</v>
      </c>
      <c r="D9" s="76">
        <v>0</v>
      </c>
      <c r="E9" s="76">
        <v>0</v>
      </c>
      <c r="F9" s="76">
        <v>1</v>
      </c>
      <c r="G9" s="76">
        <v>0</v>
      </c>
      <c r="H9" s="76">
        <v>0</v>
      </c>
      <c r="I9" s="76">
        <v>0</v>
      </c>
      <c r="J9" s="76">
        <v>1</v>
      </c>
      <c r="K9" s="76">
        <v>0</v>
      </c>
      <c r="L9" s="76">
        <v>0</v>
      </c>
      <c r="M9" s="76">
        <v>0</v>
      </c>
      <c r="N9" s="76">
        <v>0</v>
      </c>
      <c r="O9" s="76">
        <v>0</v>
      </c>
      <c r="P9" s="76">
        <v>0</v>
      </c>
      <c r="Q9" s="76">
        <v>0</v>
      </c>
      <c r="R9" s="76">
        <v>0</v>
      </c>
      <c r="S9" s="76">
        <v>0</v>
      </c>
    </row>
    <row r="10" spans="1:19">
      <c r="A10" s="5" t="s">
        <v>106</v>
      </c>
      <c r="B10" s="16" t="s">
        <v>107</v>
      </c>
      <c r="C10" s="76">
        <v>874</v>
      </c>
      <c r="D10" s="76">
        <v>0</v>
      </c>
      <c r="E10" s="76">
        <v>0</v>
      </c>
      <c r="F10" s="76">
        <v>298</v>
      </c>
      <c r="G10" s="76">
        <v>0</v>
      </c>
      <c r="H10" s="76">
        <v>0</v>
      </c>
      <c r="I10" s="76">
        <v>0</v>
      </c>
      <c r="J10" s="76">
        <v>298</v>
      </c>
      <c r="K10" s="76">
        <v>576</v>
      </c>
      <c r="L10" s="76">
        <v>0</v>
      </c>
      <c r="M10" s="76">
        <v>0</v>
      </c>
      <c r="N10" s="76">
        <v>0</v>
      </c>
      <c r="O10" s="76">
        <v>0</v>
      </c>
      <c r="P10" s="76">
        <v>0</v>
      </c>
      <c r="Q10" s="76">
        <v>0</v>
      </c>
      <c r="R10" s="76">
        <v>0</v>
      </c>
      <c r="S10" s="76">
        <v>0</v>
      </c>
    </row>
    <row r="11" spans="1:19">
      <c r="A11" s="5" t="s">
        <v>108</v>
      </c>
      <c r="B11" s="16" t="s">
        <v>109</v>
      </c>
      <c r="C11" s="76">
        <v>874</v>
      </c>
      <c r="D11" s="76">
        <v>0</v>
      </c>
      <c r="E11" s="76">
        <v>0</v>
      </c>
      <c r="F11" s="76">
        <v>298</v>
      </c>
      <c r="G11" s="76">
        <v>0</v>
      </c>
      <c r="H11" s="76">
        <v>0</v>
      </c>
      <c r="I11" s="76">
        <v>0</v>
      </c>
      <c r="J11" s="76">
        <v>298</v>
      </c>
      <c r="K11" s="76">
        <v>576</v>
      </c>
      <c r="L11" s="76">
        <v>0</v>
      </c>
      <c r="M11" s="76">
        <v>0</v>
      </c>
      <c r="N11" s="76">
        <v>0</v>
      </c>
      <c r="O11" s="76">
        <v>0</v>
      </c>
      <c r="P11" s="76">
        <v>0</v>
      </c>
      <c r="Q11" s="76">
        <v>0</v>
      </c>
      <c r="R11" s="76">
        <v>0</v>
      </c>
      <c r="S11" s="76">
        <v>0</v>
      </c>
    </row>
    <row r="12" spans="1:19">
      <c r="A12" s="5" t="s">
        <v>110</v>
      </c>
      <c r="B12" s="16" t="s">
        <v>111</v>
      </c>
      <c r="C12" s="76">
        <v>576</v>
      </c>
      <c r="D12" s="76">
        <v>0</v>
      </c>
      <c r="E12" s="76">
        <v>0</v>
      </c>
      <c r="F12" s="76">
        <v>0</v>
      </c>
      <c r="G12" s="76">
        <v>0</v>
      </c>
      <c r="H12" s="76">
        <v>0</v>
      </c>
      <c r="I12" s="76">
        <v>0</v>
      </c>
      <c r="J12" s="76">
        <v>0</v>
      </c>
      <c r="K12" s="76">
        <v>576</v>
      </c>
      <c r="L12" s="76">
        <v>0</v>
      </c>
      <c r="M12" s="76">
        <v>0</v>
      </c>
      <c r="N12" s="76">
        <v>0</v>
      </c>
      <c r="O12" s="76">
        <v>0</v>
      </c>
      <c r="P12" s="76">
        <v>0</v>
      </c>
      <c r="Q12" s="76">
        <v>0</v>
      </c>
      <c r="R12" s="76">
        <v>0</v>
      </c>
      <c r="S12" s="76">
        <v>0</v>
      </c>
    </row>
    <row r="13" spans="1:19">
      <c r="A13" s="5" t="s">
        <v>112</v>
      </c>
      <c r="B13" s="16" t="s">
        <v>113</v>
      </c>
      <c r="C13" s="76">
        <v>0</v>
      </c>
      <c r="D13" s="76">
        <v>0</v>
      </c>
      <c r="E13" s="76">
        <v>0</v>
      </c>
      <c r="F13" s="76">
        <v>0</v>
      </c>
      <c r="G13" s="76">
        <v>0</v>
      </c>
      <c r="H13" s="76">
        <v>0</v>
      </c>
      <c r="I13" s="76">
        <v>0</v>
      </c>
      <c r="J13" s="76">
        <v>0</v>
      </c>
      <c r="K13" s="76">
        <v>0</v>
      </c>
      <c r="L13" s="76">
        <v>0</v>
      </c>
      <c r="M13" s="76">
        <v>0</v>
      </c>
      <c r="N13" s="76">
        <v>0</v>
      </c>
      <c r="O13" s="76">
        <v>0</v>
      </c>
      <c r="P13" s="76">
        <v>0</v>
      </c>
      <c r="Q13" s="76">
        <v>0</v>
      </c>
      <c r="R13" s="76">
        <v>0</v>
      </c>
      <c r="S13" s="76">
        <v>0</v>
      </c>
    </row>
    <row r="14" spans="1:19">
      <c r="A14" s="5" t="s">
        <v>114</v>
      </c>
      <c r="B14" s="16" t="s">
        <v>115</v>
      </c>
      <c r="C14" s="76">
        <v>298</v>
      </c>
      <c r="D14" s="76">
        <v>0</v>
      </c>
      <c r="E14" s="76">
        <v>0</v>
      </c>
      <c r="F14" s="76">
        <v>298</v>
      </c>
      <c r="G14" s="76">
        <v>0</v>
      </c>
      <c r="H14" s="76">
        <v>0</v>
      </c>
      <c r="I14" s="76">
        <v>0</v>
      </c>
      <c r="J14" s="76">
        <v>298</v>
      </c>
      <c r="K14" s="76">
        <v>0</v>
      </c>
      <c r="L14" s="76">
        <v>0</v>
      </c>
      <c r="M14" s="76">
        <v>0</v>
      </c>
      <c r="N14" s="76">
        <v>0</v>
      </c>
      <c r="O14" s="76">
        <v>0</v>
      </c>
      <c r="P14" s="76">
        <v>0</v>
      </c>
      <c r="Q14" s="76">
        <v>0</v>
      </c>
      <c r="R14" s="76">
        <v>0</v>
      </c>
      <c r="S14" s="76">
        <v>0</v>
      </c>
    </row>
    <row r="15" spans="1:19">
      <c r="A15" s="5" t="s">
        <v>116</v>
      </c>
      <c r="B15" s="16" t="s">
        <v>117</v>
      </c>
      <c r="C15" s="76">
        <v>0</v>
      </c>
      <c r="D15" s="76">
        <v>0</v>
      </c>
      <c r="E15" s="76">
        <v>0</v>
      </c>
      <c r="F15" s="76">
        <v>0</v>
      </c>
      <c r="G15" s="76">
        <v>0</v>
      </c>
      <c r="H15" s="76">
        <v>0</v>
      </c>
      <c r="I15" s="76">
        <v>0</v>
      </c>
      <c r="J15" s="76">
        <v>0</v>
      </c>
      <c r="K15" s="76">
        <v>0</v>
      </c>
      <c r="L15" s="76">
        <v>0</v>
      </c>
      <c r="M15" s="76">
        <v>0</v>
      </c>
      <c r="N15" s="76">
        <v>0</v>
      </c>
      <c r="O15" s="76">
        <v>0</v>
      </c>
      <c r="P15" s="76">
        <v>0</v>
      </c>
      <c r="Q15" s="76">
        <v>0</v>
      </c>
      <c r="R15" s="76">
        <v>0</v>
      </c>
      <c r="S15" s="76">
        <v>0</v>
      </c>
    </row>
    <row r="16" spans="1:19">
      <c r="A16" s="5" t="s">
        <v>118</v>
      </c>
      <c r="B16" s="16" t="s">
        <v>119</v>
      </c>
      <c r="C16" s="76">
        <v>0</v>
      </c>
      <c r="D16" s="76">
        <v>0</v>
      </c>
      <c r="E16" s="76">
        <v>0</v>
      </c>
      <c r="F16" s="76">
        <v>0</v>
      </c>
      <c r="G16" s="76">
        <v>0</v>
      </c>
      <c r="H16" s="76">
        <v>0</v>
      </c>
      <c r="I16" s="76">
        <v>0</v>
      </c>
      <c r="J16" s="76">
        <v>0</v>
      </c>
      <c r="K16" s="76">
        <v>0</v>
      </c>
      <c r="L16" s="76">
        <v>0</v>
      </c>
      <c r="M16" s="76">
        <v>0</v>
      </c>
      <c r="N16" s="76">
        <v>0</v>
      </c>
      <c r="O16" s="76">
        <v>0</v>
      </c>
      <c r="P16" s="76">
        <v>0</v>
      </c>
      <c r="Q16" s="76">
        <v>0</v>
      </c>
      <c r="R16" s="76">
        <v>0</v>
      </c>
      <c r="S16" s="76">
        <v>0</v>
      </c>
    </row>
    <row r="17" spans="1:19">
      <c r="A17" s="5" t="s">
        <v>120</v>
      </c>
      <c r="B17" s="16" t="s">
        <v>121</v>
      </c>
      <c r="C17" s="76">
        <v>0</v>
      </c>
      <c r="D17" s="76">
        <v>0</v>
      </c>
      <c r="E17" s="76">
        <v>0</v>
      </c>
      <c r="F17" s="76">
        <v>0</v>
      </c>
      <c r="G17" s="76">
        <v>0</v>
      </c>
      <c r="H17" s="76">
        <v>0</v>
      </c>
      <c r="I17" s="76">
        <v>0</v>
      </c>
      <c r="J17" s="76">
        <v>0</v>
      </c>
      <c r="K17" s="76">
        <v>0</v>
      </c>
      <c r="L17" s="76">
        <v>0</v>
      </c>
      <c r="M17" s="76">
        <v>0</v>
      </c>
      <c r="N17" s="76">
        <v>0</v>
      </c>
      <c r="O17" s="76">
        <v>0</v>
      </c>
      <c r="P17" s="76">
        <v>0</v>
      </c>
      <c r="Q17" s="76">
        <v>0</v>
      </c>
      <c r="R17" s="76">
        <v>0</v>
      </c>
      <c r="S17" s="76">
        <v>0</v>
      </c>
    </row>
    <row r="18" spans="1:19">
      <c r="A18" s="5" t="s">
        <v>122</v>
      </c>
      <c r="B18" s="16" t="s">
        <v>123</v>
      </c>
      <c r="C18" s="76">
        <v>0</v>
      </c>
      <c r="D18" s="76">
        <v>0</v>
      </c>
      <c r="E18" s="76">
        <v>0</v>
      </c>
      <c r="F18" s="76">
        <v>0</v>
      </c>
      <c r="G18" s="76">
        <v>0</v>
      </c>
      <c r="H18" s="76">
        <v>0</v>
      </c>
      <c r="I18" s="76">
        <v>0</v>
      </c>
      <c r="J18" s="76">
        <v>0</v>
      </c>
      <c r="K18" s="76">
        <v>0</v>
      </c>
      <c r="L18" s="76">
        <v>0</v>
      </c>
      <c r="M18" s="76">
        <v>0</v>
      </c>
      <c r="N18" s="76">
        <v>0</v>
      </c>
      <c r="O18" s="76">
        <v>0</v>
      </c>
      <c r="P18" s="76">
        <v>0</v>
      </c>
      <c r="Q18" s="76">
        <v>0</v>
      </c>
      <c r="R18" s="76">
        <v>0</v>
      </c>
      <c r="S18" s="76">
        <v>0</v>
      </c>
    </row>
    <row r="19" spans="1:19">
      <c r="A19" s="5" t="s">
        <v>124</v>
      </c>
      <c r="B19" s="16" t="s">
        <v>125</v>
      </c>
      <c r="C19" s="76">
        <v>0</v>
      </c>
      <c r="D19" s="76">
        <v>0</v>
      </c>
      <c r="E19" s="76">
        <v>0</v>
      </c>
      <c r="F19" s="76">
        <v>0</v>
      </c>
      <c r="G19" s="76">
        <v>0</v>
      </c>
      <c r="H19" s="76">
        <v>0</v>
      </c>
      <c r="I19" s="76">
        <v>0</v>
      </c>
      <c r="J19" s="76">
        <v>0</v>
      </c>
      <c r="K19" s="76">
        <v>0</v>
      </c>
      <c r="L19" s="76">
        <v>0</v>
      </c>
      <c r="M19" s="76">
        <v>0</v>
      </c>
      <c r="N19" s="76">
        <v>0</v>
      </c>
      <c r="O19" s="76">
        <v>0</v>
      </c>
      <c r="P19" s="76">
        <v>0</v>
      </c>
      <c r="Q19" s="76">
        <v>0</v>
      </c>
      <c r="R19" s="76">
        <v>0</v>
      </c>
      <c r="S19" s="76">
        <v>0</v>
      </c>
    </row>
    <row r="20" spans="1:19">
      <c r="A20" s="5" t="s">
        <v>342</v>
      </c>
      <c r="B20" s="16" t="s">
        <v>126</v>
      </c>
      <c r="C20" s="76">
        <v>2260</v>
      </c>
      <c r="D20" s="76">
        <v>20</v>
      </c>
      <c r="E20" s="76">
        <v>2035</v>
      </c>
      <c r="F20" s="76">
        <v>206</v>
      </c>
      <c r="G20" s="76">
        <v>0</v>
      </c>
      <c r="H20" s="76">
        <v>0</v>
      </c>
      <c r="I20" s="76">
        <v>205</v>
      </c>
      <c r="J20" s="76">
        <v>1</v>
      </c>
      <c r="K20" s="76">
        <v>0</v>
      </c>
      <c r="L20" s="76">
        <v>0</v>
      </c>
      <c r="M20" s="76">
        <v>0</v>
      </c>
      <c r="N20" s="76">
        <v>0</v>
      </c>
      <c r="O20" s="76">
        <v>0</v>
      </c>
      <c r="P20" s="76">
        <v>0</v>
      </c>
      <c r="Q20" s="76">
        <v>0</v>
      </c>
      <c r="R20" s="76">
        <v>0</v>
      </c>
      <c r="S20" s="76">
        <v>0</v>
      </c>
    </row>
    <row r="21" spans="1:19">
      <c r="A21" s="5" t="s">
        <v>343</v>
      </c>
      <c r="B21" s="16" t="s">
        <v>127</v>
      </c>
      <c r="C21" s="76">
        <v>2054</v>
      </c>
      <c r="D21" s="76">
        <v>20</v>
      </c>
      <c r="E21" s="76">
        <v>2035</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0</v>
      </c>
      <c r="D22" s="76">
        <v>0</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1</v>
      </c>
      <c r="D23" s="76">
        <v>0</v>
      </c>
      <c r="E23" s="76">
        <v>0</v>
      </c>
      <c r="F23" s="76">
        <v>1</v>
      </c>
      <c r="G23" s="76">
        <v>0</v>
      </c>
      <c r="H23" s="76">
        <v>0</v>
      </c>
      <c r="I23" s="76">
        <v>0</v>
      </c>
      <c r="J23" s="76">
        <v>1</v>
      </c>
      <c r="K23" s="76">
        <v>0</v>
      </c>
      <c r="L23" s="76">
        <v>0</v>
      </c>
      <c r="M23" s="76">
        <v>0</v>
      </c>
      <c r="N23" s="76">
        <v>0</v>
      </c>
      <c r="O23" s="76">
        <v>0</v>
      </c>
      <c r="P23" s="76">
        <v>0</v>
      </c>
      <c r="Q23" s="76">
        <v>0</v>
      </c>
      <c r="R23" s="76">
        <v>0</v>
      </c>
      <c r="S23" s="76">
        <v>0</v>
      </c>
    </row>
    <row r="24" spans="1:19">
      <c r="A24" s="5" t="s">
        <v>346</v>
      </c>
      <c r="B24" s="16" t="s">
        <v>130</v>
      </c>
      <c r="C24" s="76">
        <v>205</v>
      </c>
      <c r="D24" s="76">
        <v>0</v>
      </c>
      <c r="E24" s="76">
        <v>0</v>
      </c>
      <c r="F24" s="76">
        <v>205</v>
      </c>
      <c r="G24" s="76">
        <v>0</v>
      </c>
      <c r="H24" s="76">
        <v>0</v>
      </c>
      <c r="I24" s="76">
        <v>205</v>
      </c>
      <c r="J24" s="76">
        <v>0</v>
      </c>
      <c r="K24" s="76">
        <v>0</v>
      </c>
      <c r="L24" s="76">
        <v>0</v>
      </c>
      <c r="M24" s="76">
        <v>0</v>
      </c>
      <c r="N24" s="76">
        <v>0</v>
      </c>
      <c r="O24" s="76">
        <v>0</v>
      </c>
      <c r="P24" s="76">
        <v>0</v>
      </c>
      <c r="Q24" s="76">
        <v>0</v>
      </c>
      <c r="R24" s="76">
        <v>0</v>
      </c>
      <c r="S24" s="76">
        <v>0</v>
      </c>
    </row>
    <row r="25" spans="1:19">
      <c r="A25" s="5" t="s">
        <v>347</v>
      </c>
      <c r="B25" s="16" t="s">
        <v>131</v>
      </c>
      <c r="C25" s="76">
        <v>186</v>
      </c>
      <c r="D25" s="76">
        <v>0</v>
      </c>
      <c r="E25" s="76">
        <v>0</v>
      </c>
      <c r="F25" s="76">
        <v>0</v>
      </c>
      <c r="G25" s="76">
        <v>0</v>
      </c>
      <c r="H25" s="76">
        <v>0</v>
      </c>
      <c r="I25" s="76">
        <v>0</v>
      </c>
      <c r="J25" s="76">
        <v>0</v>
      </c>
      <c r="K25" s="76">
        <v>186</v>
      </c>
      <c r="L25" s="76">
        <v>0</v>
      </c>
      <c r="M25" s="76">
        <v>0</v>
      </c>
      <c r="N25" s="76">
        <v>0</v>
      </c>
      <c r="O25" s="76">
        <v>0</v>
      </c>
      <c r="P25" s="76">
        <v>0</v>
      </c>
      <c r="Q25" s="76">
        <v>0</v>
      </c>
      <c r="R25" s="76">
        <v>0</v>
      </c>
      <c r="S25" s="76">
        <v>0</v>
      </c>
    </row>
    <row r="26" spans="1:19">
      <c r="A26" s="5" t="s">
        <v>348</v>
      </c>
      <c r="B26" s="16" t="s">
        <v>132</v>
      </c>
      <c r="C26" s="76">
        <v>442</v>
      </c>
      <c r="D26" s="76">
        <v>0</v>
      </c>
      <c r="E26" s="76">
        <v>0</v>
      </c>
      <c r="F26" s="76">
        <v>0</v>
      </c>
      <c r="G26" s="76">
        <v>0</v>
      </c>
      <c r="H26" s="76">
        <v>0</v>
      </c>
      <c r="I26" s="76">
        <v>0</v>
      </c>
      <c r="J26" s="76">
        <v>0</v>
      </c>
      <c r="K26" s="76">
        <v>0</v>
      </c>
      <c r="L26" s="76">
        <v>442</v>
      </c>
      <c r="M26" s="76">
        <v>0</v>
      </c>
      <c r="N26" s="76">
        <v>0</v>
      </c>
      <c r="O26" s="76">
        <v>0</v>
      </c>
      <c r="P26" s="76">
        <v>0</v>
      </c>
      <c r="Q26" s="76">
        <v>0</v>
      </c>
      <c r="R26" s="76">
        <v>0</v>
      </c>
      <c r="S26" s="76">
        <v>0</v>
      </c>
    </row>
    <row r="27" spans="1:19">
      <c r="A27" s="5" t="s">
        <v>349</v>
      </c>
      <c r="B27" s="16" t="s">
        <v>133</v>
      </c>
      <c r="C27" s="76">
        <v>0</v>
      </c>
      <c r="D27" s="76">
        <v>0</v>
      </c>
      <c r="E27" s="76">
        <v>0</v>
      </c>
      <c r="F27" s="76">
        <v>0</v>
      </c>
      <c r="G27" s="76">
        <v>0</v>
      </c>
      <c r="H27" s="76">
        <v>0</v>
      </c>
      <c r="I27" s="76">
        <v>0</v>
      </c>
      <c r="J27" s="76">
        <v>0</v>
      </c>
      <c r="K27" s="76">
        <v>0</v>
      </c>
      <c r="L27" s="76">
        <v>0</v>
      </c>
      <c r="M27" s="76">
        <v>0</v>
      </c>
      <c r="N27" s="76">
        <v>0</v>
      </c>
      <c r="O27" s="76">
        <v>0</v>
      </c>
      <c r="P27" s="76">
        <v>0</v>
      </c>
      <c r="Q27" s="76">
        <v>0</v>
      </c>
      <c r="R27" s="76">
        <v>0</v>
      </c>
      <c r="S27" s="76">
        <v>0</v>
      </c>
    </row>
    <row r="28" spans="1:19">
      <c r="A28" s="5" t="s">
        <v>350</v>
      </c>
      <c r="B28" s="16" t="s">
        <v>134</v>
      </c>
      <c r="C28" s="76">
        <v>0</v>
      </c>
      <c r="D28" s="76">
        <v>0</v>
      </c>
      <c r="E28" s="76">
        <v>0</v>
      </c>
      <c r="F28" s="76">
        <v>0</v>
      </c>
      <c r="G28" s="76">
        <v>0</v>
      </c>
      <c r="H28" s="76">
        <v>0</v>
      </c>
      <c r="I28" s="76">
        <v>0</v>
      </c>
      <c r="J28" s="76">
        <v>0</v>
      </c>
      <c r="K28" s="76">
        <v>0</v>
      </c>
      <c r="L28" s="76">
        <v>0</v>
      </c>
      <c r="M28" s="76">
        <v>0</v>
      </c>
      <c r="N28" s="76">
        <v>0</v>
      </c>
      <c r="O28" s="76">
        <v>0</v>
      </c>
      <c r="P28" s="76">
        <v>0</v>
      </c>
      <c r="Q28" s="76">
        <v>0</v>
      </c>
      <c r="R28" s="76">
        <v>0</v>
      </c>
      <c r="S28" s="76">
        <v>0</v>
      </c>
    </row>
    <row r="29" spans="1:19">
      <c r="A29" s="5" t="s">
        <v>351</v>
      </c>
      <c r="B29" s="16" t="s">
        <v>135</v>
      </c>
      <c r="C29" s="76">
        <v>0</v>
      </c>
      <c r="D29" s="76">
        <v>0</v>
      </c>
      <c r="E29" s="76">
        <v>0</v>
      </c>
      <c r="F29" s="76">
        <v>0</v>
      </c>
      <c r="G29" s="76">
        <v>0</v>
      </c>
      <c r="H29" s="76">
        <v>0</v>
      </c>
      <c r="I29" s="76">
        <v>0</v>
      </c>
      <c r="J29" s="76">
        <v>0</v>
      </c>
      <c r="K29" s="76">
        <v>0</v>
      </c>
      <c r="L29" s="76">
        <v>0</v>
      </c>
      <c r="M29" s="76">
        <v>0</v>
      </c>
      <c r="N29" s="76">
        <v>0</v>
      </c>
      <c r="O29" s="76">
        <v>0</v>
      </c>
      <c r="P29" s="76">
        <v>0</v>
      </c>
      <c r="Q29" s="76">
        <v>0</v>
      </c>
      <c r="R29" s="76">
        <v>0</v>
      </c>
      <c r="S29" s="76">
        <v>0</v>
      </c>
    </row>
    <row r="30" spans="1:19">
      <c r="A30" s="5" t="s">
        <v>352</v>
      </c>
      <c r="B30" s="16" t="s">
        <v>136</v>
      </c>
      <c r="C30" s="76">
        <v>0</v>
      </c>
      <c r="D30" s="76">
        <v>0</v>
      </c>
      <c r="E30" s="76">
        <v>0</v>
      </c>
      <c r="F30" s="76">
        <v>0</v>
      </c>
      <c r="G30" s="76">
        <v>0</v>
      </c>
      <c r="H30" s="76">
        <v>0</v>
      </c>
      <c r="I30" s="76">
        <v>0</v>
      </c>
      <c r="J30" s="76">
        <v>0</v>
      </c>
      <c r="K30" s="76">
        <v>0</v>
      </c>
      <c r="L30" s="76">
        <v>0</v>
      </c>
      <c r="M30" s="76">
        <v>0</v>
      </c>
      <c r="N30" s="76">
        <v>0</v>
      </c>
      <c r="O30" s="76">
        <v>0</v>
      </c>
      <c r="P30" s="76">
        <v>0</v>
      </c>
      <c r="Q30" s="76">
        <v>0</v>
      </c>
      <c r="R30" s="76">
        <v>0</v>
      </c>
      <c r="S30" s="76">
        <v>0</v>
      </c>
    </row>
    <row r="31" spans="1:19">
      <c r="A31" s="5" t="s">
        <v>353</v>
      </c>
      <c r="B31" s="16" t="s">
        <v>137</v>
      </c>
      <c r="C31" s="76">
        <v>442</v>
      </c>
      <c r="D31" s="76">
        <v>0</v>
      </c>
      <c r="E31" s="76">
        <v>0</v>
      </c>
      <c r="F31" s="76">
        <v>0</v>
      </c>
      <c r="G31" s="76">
        <v>0</v>
      </c>
      <c r="H31" s="76">
        <v>0</v>
      </c>
      <c r="I31" s="76">
        <v>0</v>
      </c>
      <c r="J31" s="76">
        <v>0</v>
      </c>
      <c r="K31" s="76">
        <v>0</v>
      </c>
      <c r="L31" s="76">
        <v>442</v>
      </c>
      <c r="M31" s="76">
        <v>0</v>
      </c>
      <c r="N31" s="76">
        <v>0</v>
      </c>
      <c r="O31" s="76">
        <v>0</v>
      </c>
      <c r="P31" s="76">
        <v>0</v>
      </c>
      <c r="Q31" s="76">
        <v>0</v>
      </c>
      <c r="R31" s="76">
        <v>0</v>
      </c>
      <c r="S31" s="76">
        <v>0</v>
      </c>
    </row>
    <row r="32" spans="1:19">
      <c r="A32" s="5" t="s">
        <v>354</v>
      </c>
      <c r="B32" s="16" t="s">
        <v>138</v>
      </c>
      <c r="C32" s="76">
        <v>206</v>
      </c>
      <c r="D32" s="76">
        <v>0</v>
      </c>
      <c r="E32" s="76">
        <v>0</v>
      </c>
      <c r="F32" s="76">
        <v>0</v>
      </c>
      <c r="G32" s="76">
        <v>0</v>
      </c>
      <c r="H32" s="76">
        <v>0</v>
      </c>
      <c r="I32" s="76">
        <v>0</v>
      </c>
      <c r="J32" s="76">
        <v>0</v>
      </c>
      <c r="K32" s="76">
        <v>0</v>
      </c>
      <c r="L32" s="76">
        <v>0</v>
      </c>
      <c r="M32" s="76">
        <v>206</v>
      </c>
      <c r="N32" s="76">
        <v>0</v>
      </c>
      <c r="O32" s="76">
        <v>0</v>
      </c>
      <c r="P32" s="76">
        <v>0</v>
      </c>
      <c r="Q32" s="76">
        <v>0</v>
      </c>
      <c r="R32" s="76">
        <v>0</v>
      </c>
      <c r="S32" s="76">
        <v>0</v>
      </c>
    </row>
    <row r="33" spans="1:19">
      <c r="A33" s="5" t="s">
        <v>355</v>
      </c>
      <c r="B33" s="16" t="s">
        <v>139</v>
      </c>
      <c r="C33" s="76">
        <v>195</v>
      </c>
      <c r="D33" s="76">
        <v>0</v>
      </c>
      <c r="E33" s="76">
        <v>0</v>
      </c>
      <c r="F33" s="76">
        <v>0</v>
      </c>
      <c r="G33" s="76">
        <v>0</v>
      </c>
      <c r="H33" s="76">
        <v>0</v>
      </c>
      <c r="I33" s="76">
        <v>0</v>
      </c>
      <c r="J33" s="76">
        <v>0</v>
      </c>
      <c r="K33" s="76">
        <v>0</v>
      </c>
      <c r="L33" s="76">
        <v>0</v>
      </c>
      <c r="M33" s="76">
        <v>195</v>
      </c>
      <c r="N33" s="76">
        <v>0</v>
      </c>
      <c r="O33" s="76">
        <v>0</v>
      </c>
      <c r="P33" s="76">
        <v>0</v>
      </c>
      <c r="Q33" s="76">
        <v>0</v>
      </c>
      <c r="R33" s="76">
        <v>0</v>
      </c>
      <c r="S33" s="76">
        <v>0</v>
      </c>
    </row>
    <row r="34" spans="1:19">
      <c r="A34" s="5" t="s">
        <v>356</v>
      </c>
      <c r="B34" s="16" t="s">
        <v>140</v>
      </c>
      <c r="C34" s="76">
        <v>0</v>
      </c>
      <c r="D34" s="76">
        <v>0</v>
      </c>
      <c r="E34" s="76">
        <v>0</v>
      </c>
      <c r="F34" s="76">
        <v>0</v>
      </c>
      <c r="G34" s="76">
        <v>0</v>
      </c>
      <c r="H34" s="76">
        <v>0</v>
      </c>
      <c r="I34" s="76">
        <v>0</v>
      </c>
      <c r="J34" s="76">
        <v>0</v>
      </c>
      <c r="K34" s="76">
        <v>0</v>
      </c>
      <c r="L34" s="76">
        <v>0</v>
      </c>
      <c r="M34" s="76">
        <v>0</v>
      </c>
      <c r="N34" s="76">
        <v>0</v>
      </c>
      <c r="O34" s="76">
        <v>0</v>
      </c>
      <c r="P34" s="76">
        <v>0</v>
      </c>
      <c r="Q34" s="76">
        <v>0</v>
      </c>
      <c r="R34" s="76">
        <v>0</v>
      </c>
      <c r="S34" s="76">
        <v>0</v>
      </c>
    </row>
    <row r="35" spans="1:19">
      <c r="A35" s="5" t="s">
        <v>357</v>
      </c>
      <c r="B35" s="16" t="s">
        <v>141</v>
      </c>
      <c r="C35" s="76">
        <v>11</v>
      </c>
      <c r="D35" s="76">
        <v>0</v>
      </c>
      <c r="E35" s="76">
        <v>0</v>
      </c>
      <c r="F35" s="76">
        <v>0</v>
      </c>
      <c r="G35" s="76">
        <v>0</v>
      </c>
      <c r="H35" s="76">
        <v>0</v>
      </c>
      <c r="I35" s="76">
        <v>0</v>
      </c>
      <c r="J35" s="76">
        <v>0</v>
      </c>
      <c r="K35" s="76">
        <v>0</v>
      </c>
      <c r="L35" s="76">
        <v>0</v>
      </c>
      <c r="M35" s="76">
        <v>11</v>
      </c>
      <c r="N35" s="76">
        <v>0</v>
      </c>
      <c r="O35" s="76">
        <v>0</v>
      </c>
      <c r="P35" s="76">
        <v>0</v>
      </c>
      <c r="Q35" s="76">
        <v>0</v>
      </c>
      <c r="R35" s="76">
        <v>0</v>
      </c>
      <c r="S35" s="76">
        <v>0</v>
      </c>
    </row>
    <row r="36" spans="1:19">
      <c r="A36" s="5" t="s">
        <v>358</v>
      </c>
      <c r="B36" s="16" t="s">
        <v>142</v>
      </c>
      <c r="C36" s="76">
        <v>0</v>
      </c>
      <c r="D36" s="76">
        <v>0</v>
      </c>
      <c r="E36" s="76">
        <v>0</v>
      </c>
      <c r="F36" s="76">
        <v>0</v>
      </c>
      <c r="G36" s="76">
        <v>0</v>
      </c>
      <c r="H36" s="76">
        <v>0</v>
      </c>
      <c r="I36" s="76">
        <v>0</v>
      </c>
      <c r="J36" s="76">
        <v>0</v>
      </c>
      <c r="K36" s="76">
        <v>0</v>
      </c>
      <c r="L36" s="76">
        <v>0</v>
      </c>
      <c r="M36" s="76">
        <v>0</v>
      </c>
      <c r="N36" s="76">
        <v>0</v>
      </c>
      <c r="O36" s="76">
        <v>0</v>
      </c>
      <c r="P36" s="76">
        <v>0</v>
      </c>
      <c r="Q36" s="76">
        <v>0</v>
      </c>
      <c r="R36" s="76">
        <v>0</v>
      </c>
      <c r="S36" s="76">
        <v>0</v>
      </c>
    </row>
    <row r="37" spans="1:19">
      <c r="A37" s="5" t="s">
        <v>359</v>
      </c>
      <c r="B37" s="16" t="s">
        <v>143</v>
      </c>
      <c r="C37" s="76">
        <v>0</v>
      </c>
      <c r="D37" s="76">
        <v>0</v>
      </c>
      <c r="E37" s="76">
        <v>0</v>
      </c>
      <c r="F37" s="76">
        <v>0</v>
      </c>
      <c r="G37" s="76">
        <v>0</v>
      </c>
      <c r="H37" s="76">
        <v>0</v>
      </c>
      <c r="I37" s="76">
        <v>0</v>
      </c>
      <c r="J37" s="76">
        <v>0</v>
      </c>
      <c r="K37" s="76">
        <v>0</v>
      </c>
      <c r="L37" s="76">
        <v>0</v>
      </c>
      <c r="M37" s="76">
        <v>0</v>
      </c>
      <c r="N37" s="76">
        <v>0</v>
      </c>
      <c r="O37" s="76">
        <v>0</v>
      </c>
      <c r="P37" s="76">
        <v>0</v>
      </c>
      <c r="Q37" s="76">
        <v>0</v>
      </c>
      <c r="R37" s="76">
        <v>0</v>
      </c>
      <c r="S37" s="76">
        <v>0</v>
      </c>
    </row>
    <row r="38" spans="1:19">
      <c r="A38" s="5" t="s">
        <v>360</v>
      </c>
      <c r="B38" s="16" t="s">
        <v>144</v>
      </c>
      <c r="C38" s="76">
        <v>66</v>
      </c>
      <c r="D38" s="76">
        <v>0</v>
      </c>
      <c r="E38" s="76">
        <v>0</v>
      </c>
      <c r="F38" s="76">
        <v>0</v>
      </c>
      <c r="G38" s="76">
        <v>0</v>
      </c>
      <c r="H38" s="76">
        <v>0</v>
      </c>
      <c r="I38" s="76">
        <v>0</v>
      </c>
      <c r="J38" s="76">
        <v>0</v>
      </c>
      <c r="K38" s="76">
        <v>0</v>
      </c>
      <c r="L38" s="76">
        <v>0</v>
      </c>
      <c r="M38" s="76">
        <v>0</v>
      </c>
      <c r="N38" s="76">
        <v>66</v>
      </c>
      <c r="O38" s="76">
        <v>0</v>
      </c>
      <c r="P38" s="76">
        <v>0</v>
      </c>
      <c r="Q38" s="76">
        <v>0</v>
      </c>
      <c r="R38" s="76">
        <v>0</v>
      </c>
      <c r="S38" s="76">
        <v>0</v>
      </c>
    </row>
    <row r="39" spans="1:19">
      <c r="A39" s="5" t="s">
        <v>361</v>
      </c>
      <c r="B39" s="16" t="s">
        <v>145</v>
      </c>
      <c r="C39" s="76">
        <v>66</v>
      </c>
      <c r="D39" s="76">
        <v>0</v>
      </c>
      <c r="E39" s="76">
        <v>0</v>
      </c>
      <c r="F39" s="76">
        <v>0</v>
      </c>
      <c r="G39" s="76">
        <v>0</v>
      </c>
      <c r="H39" s="76">
        <v>0</v>
      </c>
      <c r="I39" s="76">
        <v>0</v>
      </c>
      <c r="J39" s="76">
        <v>0</v>
      </c>
      <c r="K39" s="76">
        <v>0</v>
      </c>
      <c r="L39" s="76">
        <v>0</v>
      </c>
      <c r="M39" s="76">
        <v>0</v>
      </c>
      <c r="N39" s="76">
        <v>66</v>
      </c>
      <c r="O39" s="76">
        <v>0</v>
      </c>
      <c r="P39" s="76">
        <v>0</v>
      </c>
      <c r="Q39" s="76">
        <v>0</v>
      </c>
      <c r="R39" s="76">
        <v>0</v>
      </c>
      <c r="S39" s="76">
        <v>0</v>
      </c>
    </row>
    <row r="40" spans="1:19">
      <c r="A40" s="5" t="s">
        <v>362</v>
      </c>
      <c r="B40" s="16" t="s">
        <v>146</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0</v>
      </c>
    </row>
    <row r="41" spans="1:19">
      <c r="A41" s="5" t="s">
        <v>363</v>
      </c>
      <c r="B41" s="16" t="s">
        <v>97</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0</v>
      </c>
    </row>
    <row r="42" spans="1:19">
      <c r="A42" t="s">
        <v>152</v>
      </c>
      <c r="C42" s="76"/>
    </row>
    <row r="43" spans="1:19" ht="32.549999999999997" customHeight="1">
      <c r="A43" s="1" t="s">
        <v>38</v>
      </c>
    </row>
    <row r="44" spans="1:19">
      <c r="A44" t="s">
        <v>51</v>
      </c>
      <c r="B44" s="18" t="s">
        <v>47</v>
      </c>
    </row>
    <row r="45" spans="1:19">
      <c r="A45" t="s">
        <v>52</v>
      </c>
      <c r="B45" s="18" t="s">
        <v>148</v>
      </c>
    </row>
    <row r="46" spans="1:19">
      <c r="A46" t="s">
        <v>53</v>
      </c>
      <c r="B46" s="18" t="s">
        <v>149</v>
      </c>
    </row>
    <row r="47" spans="1:19">
      <c r="A47" t="s">
        <v>54</v>
      </c>
      <c r="B47" s="18" t="s">
        <v>150</v>
      </c>
    </row>
    <row r="48" spans="1:19">
      <c r="A48" t="s">
        <v>329</v>
      </c>
      <c r="B48" s="19" t="s">
        <v>41</v>
      </c>
    </row>
    <row r="49" spans="1:2">
      <c r="A49" t="s">
        <v>55</v>
      </c>
      <c r="B49" s="18" t="s">
        <v>42</v>
      </c>
    </row>
    <row r="50" spans="1:2">
      <c r="A50" t="s">
        <v>56</v>
      </c>
      <c r="B50" s="18" t="s">
        <v>43</v>
      </c>
    </row>
    <row r="51" spans="1:2">
      <c r="A51" t="s">
        <v>332</v>
      </c>
      <c r="B51" s="19" t="s">
        <v>44</v>
      </c>
    </row>
    <row r="52" spans="1:2">
      <c r="A52" t="s">
        <v>57</v>
      </c>
      <c r="B52" s="18" t="s">
        <v>151</v>
      </c>
    </row>
    <row r="53" spans="1:2">
      <c r="A53" t="s">
        <v>58</v>
      </c>
      <c r="B53" s="18" t="s">
        <v>50</v>
      </c>
    </row>
  </sheetData>
  <hyperlinks>
    <hyperlink ref="B51" r:id="rId1" xr:uid="{6CB40C84-365A-43C8-8C5E-2E0AE36416B6}"/>
    <hyperlink ref="B48" r:id="rId2" display="https://www.ons.gov.uk/peoplepopulationandcommunity/healthandsocialcare/healthcaresystem/methodologies/introductiontohealthaccounts" xr:uid="{FCCF104B-0DA3-4765-B3E4-4F0F7C7F95ED}"/>
  </hyperlinks>
  <pageMargins left="0.7" right="0.7" top="0.75" bottom="0.75" header="0.3" footer="0.3"/>
  <pageSetup paperSize="9" orientation="portrait" r:id="rId3"/>
  <tableParts count="1">
    <tablePart r:id="rId4"/>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09A28-B868-46BA-95B6-1A85F24E5246}">
  <sheetPr>
    <tabColor theme="5" tint="0.59999389629810485"/>
  </sheetPr>
  <dimension ref="A1:S53"/>
  <sheetViews>
    <sheetView showGridLines="0" zoomScale="70" zoomScaleNormal="70" workbookViewId="0">
      <selection activeCell="C43" sqref="C43"/>
    </sheetView>
  </sheetViews>
  <sheetFormatPr defaultRowHeight="15"/>
  <cols>
    <col min="1" max="1" width="15.66406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370</v>
      </c>
    </row>
    <row r="2" spans="1:19" ht="22.5" customHeight="1">
      <c r="A2" s="11" t="s">
        <v>364</v>
      </c>
    </row>
    <row r="3" spans="1:19" ht="41" customHeight="1">
      <c r="A3" s="11" t="s">
        <v>64</v>
      </c>
    </row>
    <row r="4" spans="1:19" ht="38.549999999999997" customHeight="1">
      <c r="A4" s="88" t="s">
        <v>366</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367</v>
      </c>
      <c r="K5" s="21" t="s">
        <v>89</v>
      </c>
      <c r="L5" s="21" t="s">
        <v>90</v>
      </c>
      <c r="M5" s="21" t="s">
        <v>91</v>
      </c>
      <c r="N5" s="21" t="s">
        <v>92</v>
      </c>
      <c r="O5" s="21" t="s">
        <v>93</v>
      </c>
      <c r="P5" s="21" t="s">
        <v>94</v>
      </c>
      <c r="Q5" s="21" t="s">
        <v>95</v>
      </c>
      <c r="R5" s="21" t="s">
        <v>96</v>
      </c>
      <c r="S5" s="21" t="s">
        <v>97</v>
      </c>
    </row>
    <row r="6" spans="1:19">
      <c r="A6" s="13" t="s">
        <v>98</v>
      </c>
      <c r="B6" s="15" t="s">
        <v>99</v>
      </c>
      <c r="C6" s="76">
        <v>648</v>
      </c>
      <c r="D6" s="76">
        <v>127</v>
      </c>
      <c r="E6" s="76">
        <v>0</v>
      </c>
      <c r="F6" s="76">
        <v>0</v>
      </c>
      <c r="G6" s="76">
        <v>0</v>
      </c>
      <c r="H6" s="76">
        <v>0</v>
      </c>
      <c r="I6" s="76">
        <v>0</v>
      </c>
      <c r="J6" s="76">
        <v>0</v>
      </c>
      <c r="K6" s="76">
        <v>0</v>
      </c>
      <c r="L6" s="76">
        <v>0</v>
      </c>
      <c r="M6" s="76">
        <v>253</v>
      </c>
      <c r="N6" s="76">
        <v>0</v>
      </c>
      <c r="O6" s="76">
        <v>253</v>
      </c>
      <c r="P6" s="76">
        <v>0</v>
      </c>
      <c r="Q6" s="76">
        <v>253</v>
      </c>
      <c r="R6" s="76">
        <v>0</v>
      </c>
      <c r="S6" s="76">
        <v>15</v>
      </c>
    </row>
    <row r="7" spans="1:19">
      <c r="A7" s="5" t="s">
        <v>100</v>
      </c>
      <c r="B7" s="16" t="s">
        <v>101</v>
      </c>
      <c r="C7" s="76">
        <v>0</v>
      </c>
      <c r="D7" s="76">
        <v>0</v>
      </c>
      <c r="E7" s="76">
        <v>0</v>
      </c>
      <c r="F7" s="76">
        <v>0</v>
      </c>
      <c r="G7" s="76">
        <v>0</v>
      </c>
      <c r="H7" s="76">
        <v>0</v>
      </c>
      <c r="I7" s="76">
        <v>0</v>
      </c>
      <c r="J7" s="76">
        <v>0</v>
      </c>
      <c r="K7" s="76">
        <v>0</v>
      </c>
      <c r="L7" s="76">
        <v>0</v>
      </c>
      <c r="M7" s="76">
        <v>0</v>
      </c>
      <c r="N7" s="76">
        <v>0</v>
      </c>
      <c r="O7" s="76">
        <v>0</v>
      </c>
      <c r="P7" s="76">
        <v>0</v>
      </c>
      <c r="Q7" s="76">
        <v>0</v>
      </c>
      <c r="R7" s="76">
        <v>0</v>
      </c>
      <c r="S7" s="76">
        <v>0</v>
      </c>
    </row>
    <row r="8" spans="1:19">
      <c r="A8" s="5" t="s">
        <v>102</v>
      </c>
      <c r="B8" s="16" t="s">
        <v>103</v>
      </c>
      <c r="C8" s="76">
        <v>0</v>
      </c>
      <c r="D8" s="76">
        <v>0</v>
      </c>
      <c r="E8" s="76">
        <v>0</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0</v>
      </c>
      <c r="D9" s="76">
        <v>0</v>
      </c>
      <c r="E9" s="76">
        <v>0</v>
      </c>
      <c r="F9" s="76">
        <v>0</v>
      </c>
      <c r="G9" s="76">
        <v>0</v>
      </c>
      <c r="H9" s="76">
        <v>0</v>
      </c>
      <c r="I9" s="76">
        <v>0</v>
      </c>
      <c r="J9" s="76">
        <v>0</v>
      </c>
      <c r="K9" s="76">
        <v>0</v>
      </c>
      <c r="L9" s="76">
        <v>0</v>
      </c>
      <c r="M9" s="76">
        <v>0</v>
      </c>
      <c r="N9" s="76">
        <v>0</v>
      </c>
      <c r="O9" s="76">
        <v>0</v>
      </c>
      <c r="P9" s="76">
        <v>0</v>
      </c>
      <c r="Q9" s="76">
        <v>0</v>
      </c>
      <c r="R9" s="76">
        <v>0</v>
      </c>
      <c r="S9" s="76">
        <v>0</v>
      </c>
    </row>
    <row r="10" spans="1:19">
      <c r="A10" s="5" t="s">
        <v>106</v>
      </c>
      <c r="B10" s="16" t="s">
        <v>107</v>
      </c>
      <c r="C10" s="76">
        <v>0</v>
      </c>
      <c r="D10" s="76">
        <v>0</v>
      </c>
      <c r="E10" s="76">
        <v>0</v>
      </c>
      <c r="F10" s="76">
        <v>0</v>
      </c>
      <c r="G10" s="76">
        <v>0</v>
      </c>
      <c r="H10" s="76">
        <v>0</v>
      </c>
      <c r="I10" s="76">
        <v>0</v>
      </c>
      <c r="J10" s="76">
        <v>0</v>
      </c>
      <c r="K10" s="76">
        <v>0</v>
      </c>
      <c r="L10" s="76">
        <v>0</v>
      </c>
      <c r="M10" s="76">
        <v>0</v>
      </c>
      <c r="N10" s="76">
        <v>0</v>
      </c>
      <c r="O10" s="76">
        <v>0</v>
      </c>
      <c r="P10" s="76">
        <v>0</v>
      </c>
      <c r="Q10" s="76">
        <v>0</v>
      </c>
      <c r="R10" s="76">
        <v>0</v>
      </c>
      <c r="S10" s="76">
        <v>0</v>
      </c>
    </row>
    <row r="11" spans="1:19">
      <c r="A11" s="5" t="s">
        <v>108</v>
      </c>
      <c r="B11" s="16" t="s">
        <v>109</v>
      </c>
      <c r="C11" s="76">
        <v>0</v>
      </c>
      <c r="D11" s="76">
        <v>0</v>
      </c>
      <c r="E11" s="76">
        <v>0</v>
      </c>
      <c r="F11" s="76">
        <v>0</v>
      </c>
      <c r="G11" s="76">
        <v>0</v>
      </c>
      <c r="H11" s="76">
        <v>0</v>
      </c>
      <c r="I11" s="76">
        <v>0</v>
      </c>
      <c r="J11" s="76">
        <v>0</v>
      </c>
      <c r="K11" s="76">
        <v>0</v>
      </c>
      <c r="L11" s="76">
        <v>0</v>
      </c>
      <c r="M11" s="76">
        <v>0</v>
      </c>
      <c r="N11" s="76">
        <v>0</v>
      </c>
      <c r="O11" s="76">
        <v>0</v>
      </c>
      <c r="P11" s="76">
        <v>0</v>
      </c>
      <c r="Q11" s="76">
        <v>0</v>
      </c>
      <c r="R11" s="76">
        <v>0</v>
      </c>
      <c r="S11" s="76">
        <v>0</v>
      </c>
    </row>
    <row r="12" spans="1:19">
      <c r="A12" s="5" t="s">
        <v>110</v>
      </c>
      <c r="B12" s="16" t="s">
        <v>111</v>
      </c>
      <c r="C12" s="76">
        <v>0</v>
      </c>
      <c r="D12" s="76">
        <v>0</v>
      </c>
      <c r="E12" s="76">
        <v>0</v>
      </c>
      <c r="F12" s="76">
        <v>0</v>
      </c>
      <c r="G12" s="76">
        <v>0</v>
      </c>
      <c r="H12" s="76">
        <v>0</v>
      </c>
      <c r="I12" s="76">
        <v>0</v>
      </c>
      <c r="J12" s="76">
        <v>0</v>
      </c>
      <c r="K12" s="76">
        <v>0</v>
      </c>
      <c r="L12" s="76">
        <v>0</v>
      </c>
      <c r="M12" s="76">
        <v>0</v>
      </c>
      <c r="N12" s="76">
        <v>0</v>
      </c>
      <c r="O12" s="76">
        <v>0</v>
      </c>
      <c r="P12" s="76">
        <v>0</v>
      </c>
      <c r="Q12" s="76">
        <v>0</v>
      </c>
      <c r="R12" s="76">
        <v>0</v>
      </c>
      <c r="S12" s="76">
        <v>0</v>
      </c>
    </row>
    <row r="13" spans="1:19">
      <c r="A13" s="5" t="s">
        <v>112</v>
      </c>
      <c r="B13" s="16" t="s">
        <v>113</v>
      </c>
      <c r="C13" s="76">
        <v>0</v>
      </c>
      <c r="D13" s="76">
        <v>0</v>
      </c>
      <c r="E13" s="76">
        <v>0</v>
      </c>
      <c r="F13" s="76">
        <v>0</v>
      </c>
      <c r="G13" s="76">
        <v>0</v>
      </c>
      <c r="H13" s="76">
        <v>0</v>
      </c>
      <c r="I13" s="76">
        <v>0</v>
      </c>
      <c r="J13" s="76">
        <v>0</v>
      </c>
      <c r="K13" s="76">
        <v>0</v>
      </c>
      <c r="L13" s="76">
        <v>0</v>
      </c>
      <c r="M13" s="76">
        <v>0</v>
      </c>
      <c r="N13" s="76">
        <v>0</v>
      </c>
      <c r="O13" s="76">
        <v>0</v>
      </c>
      <c r="P13" s="76">
        <v>0</v>
      </c>
      <c r="Q13" s="76">
        <v>0</v>
      </c>
      <c r="R13" s="76">
        <v>0</v>
      </c>
      <c r="S13" s="76">
        <v>0</v>
      </c>
    </row>
    <row r="14" spans="1:19">
      <c r="A14" s="5" t="s">
        <v>114</v>
      </c>
      <c r="B14" s="16" t="s">
        <v>115</v>
      </c>
      <c r="C14" s="76">
        <v>0</v>
      </c>
      <c r="D14" s="76">
        <v>0</v>
      </c>
      <c r="E14" s="76">
        <v>0</v>
      </c>
      <c r="F14" s="76">
        <v>0</v>
      </c>
      <c r="G14" s="76">
        <v>0</v>
      </c>
      <c r="H14" s="76">
        <v>0</v>
      </c>
      <c r="I14" s="76">
        <v>0</v>
      </c>
      <c r="J14" s="76">
        <v>0</v>
      </c>
      <c r="K14" s="76">
        <v>0</v>
      </c>
      <c r="L14" s="76">
        <v>0</v>
      </c>
      <c r="M14" s="76">
        <v>0</v>
      </c>
      <c r="N14" s="76">
        <v>0</v>
      </c>
      <c r="O14" s="76">
        <v>0</v>
      </c>
      <c r="P14" s="76">
        <v>0</v>
      </c>
      <c r="Q14" s="76">
        <v>0</v>
      </c>
      <c r="R14" s="76">
        <v>0</v>
      </c>
      <c r="S14" s="76">
        <v>0</v>
      </c>
    </row>
    <row r="15" spans="1:19">
      <c r="A15" s="5" t="s">
        <v>116</v>
      </c>
      <c r="B15" s="16" t="s">
        <v>117</v>
      </c>
      <c r="C15" s="76">
        <v>0</v>
      </c>
      <c r="D15" s="76">
        <v>0</v>
      </c>
      <c r="E15" s="76">
        <v>0</v>
      </c>
      <c r="F15" s="76">
        <v>0</v>
      </c>
      <c r="G15" s="76">
        <v>0</v>
      </c>
      <c r="H15" s="76">
        <v>0</v>
      </c>
      <c r="I15" s="76">
        <v>0</v>
      </c>
      <c r="J15" s="76">
        <v>0</v>
      </c>
      <c r="K15" s="76">
        <v>0</v>
      </c>
      <c r="L15" s="76">
        <v>0</v>
      </c>
      <c r="M15" s="76">
        <v>0</v>
      </c>
      <c r="N15" s="76">
        <v>0</v>
      </c>
      <c r="O15" s="76">
        <v>0</v>
      </c>
      <c r="P15" s="76">
        <v>0</v>
      </c>
      <c r="Q15" s="76">
        <v>0</v>
      </c>
      <c r="R15" s="76">
        <v>0</v>
      </c>
      <c r="S15" s="76">
        <v>0</v>
      </c>
    </row>
    <row r="16" spans="1:19">
      <c r="A16" s="5" t="s">
        <v>118</v>
      </c>
      <c r="B16" s="16" t="s">
        <v>119</v>
      </c>
      <c r="C16" s="76">
        <v>0</v>
      </c>
      <c r="D16" s="76">
        <v>0</v>
      </c>
      <c r="E16" s="76">
        <v>0</v>
      </c>
      <c r="F16" s="76">
        <v>0</v>
      </c>
      <c r="G16" s="76">
        <v>0</v>
      </c>
      <c r="H16" s="76">
        <v>0</v>
      </c>
      <c r="I16" s="76">
        <v>0</v>
      </c>
      <c r="J16" s="76">
        <v>0</v>
      </c>
      <c r="K16" s="76">
        <v>0</v>
      </c>
      <c r="L16" s="76">
        <v>0</v>
      </c>
      <c r="M16" s="76">
        <v>0</v>
      </c>
      <c r="N16" s="76">
        <v>0</v>
      </c>
      <c r="O16" s="76">
        <v>0</v>
      </c>
      <c r="P16" s="76">
        <v>0</v>
      </c>
      <c r="Q16" s="76">
        <v>0</v>
      </c>
      <c r="R16" s="76">
        <v>0</v>
      </c>
      <c r="S16" s="76">
        <v>0</v>
      </c>
    </row>
    <row r="17" spans="1:19">
      <c r="A17" s="5" t="s">
        <v>120</v>
      </c>
      <c r="B17" s="16" t="s">
        <v>121</v>
      </c>
      <c r="C17" s="76">
        <v>0</v>
      </c>
      <c r="D17" s="76">
        <v>0</v>
      </c>
      <c r="E17" s="76">
        <v>0</v>
      </c>
      <c r="F17" s="76">
        <v>0</v>
      </c>
      <c r="G17" s="76">
        <v>0</v>
      </c>
      <c r="H17" s="76">
        <v>0</v>
      </c>
      <c r="I17" s="76">
        <v>0</v>
      </c>
      <c r="J17" s="76">
        <v>0</v>
      </c>
      <c r="K17" s="76">
        <v>0</v>
      </c>
      <c r="L17" s="76">
        <v>0</v>
      </c>
      <c r="M17" s="76">
        <v>0</v>
      </c>
      <c r="N17" s="76">
        <v>0</v>
      </c>
      <c r="O17" s="76">
        <v>0</v>
      </c>
      <c r="P17" s="76">
        <v>0</v>
      </c>
      <c r="Q17" s="76">
        <v>0</v>
      </c>
      <c r="R17" s="76">
        <v>0</v>
      </c>
      <c r="S17" s="76">
        <v>0</v>
      </c>
    </row>
    <row r="18" spans="1:19">
      <c r="A18" s="5" t="s">
        <v>122</v>
      </c>
      <c r="B18" s="16" t="s">
        <v>123</v>
      </c>
      <c r="C18" s="76">
        <v>0</v>
      </c>
      <c r="D18" s="76">
        <v>0</v>
      </c>
      <c r="E18" s="76">
        <v>0</v>
      </c>
      <c r="F18" s="76">
        <v>0</v>
      </c>
      <c r="G18" s="76">
        <v>0</v>
      </c>
      <c r="H18" s="76">
        <v>0</v>
      </c>
      <c r="I18" s="76">
        <v>0</v>
      </c>
      <c r="J18" s="76">
        <v>0</v>
      </c>
      <c r="K18" s="76">
        <v>0</v>
      </c>
      <c r="L18" s="76">
        <v>0</v>
      </c>
      <c r="M18" s="76">
        <v>0</v>
      </c>
      <c r="N18" s="76">
        <v>0</v>
      </c>
      <c r="O18" s="76">
        <v>0</v>
      </c>
      <c r="P18" s="76">
        <v>0</v>
      </c>
      <c r="Q18" s="76">
        <v>0</v>
      </c>
      <c r="R18" s="76">
        <v>0</v>
      </c>
      <c r="S18" s="76">
        <v>0</v>
      </c>
    </row>
    <row r="19" spans="1:19">
      <c r="A19" s="5" t="s">
        <v>124</v>
      </c>
      <c r="B19" s="16" t="s">
        <v>125</v>
      </c>
      <c r="C19" s="76">
        <v>0</v>
      </c>
      <c r="D19" s="76">
        <v>0</v>
      </c>
      <c r="E19" s="76">
        <v>0</v>
      </c>
      <c r="F19" s="76">
        <v>0</v>
      </c>
      <c r="G19" s="76">
        <v>0</v>
      </c>
      <c r="H19" s="76">
        <v>0</v>
      </c>
      <c r="I19" s="76">
        <v>0</v>
      </c>
      <c r="J19" s="76">
        <v>0</v>
      </c>
      <c r="K19" s="76">
        <v>0</v>
      </c>
      <c r="L19" s="76">
        <v>0</v>
      </c>
      <c r="M19" s="76">
        <v>0</v>
      </c>
      <c r="N19" s="76">
        <v>0</v>
      </c>
      <c r="O19" s="76">
        <v>0</v>
      </c>
      <c r="P19" s="76">
        <v>0</v>
      </c>
      <c r="Q19" s="76">
        <v>0</v>
      </c>
      <c r="R19" s="76">
        <v>0</v>
      </c>
      <c r="S19" s="76">
        <v>0</v>
      </c>
    </row>
    <row r="20" spans="1:19">
      <c r="A20" s="5" t="s">
        <v>342</v>
      </c>
      <c r="B20" s="16" t="s">
        <v>126</v>
      </c>
      <c r="C20" s="76">
        <v>0</v>
      </c>
      <c r="D20" s="76">
        <v>0</v>
      </c>
      <c r="E20" s="76">
        <v>0</v>
      </c>
      <c r="F20" s="76">
        <v>0</v>
      </c>
      <c r="G20" s="76">
        <v>0</v>
      </c>
      <c r="H20" s="76">
        <v>0</v>
      </c>
      <c r="I20" s="76">
        <v>0</v>
      </c>
      <c r="J20" s="76">
        <v>0</v>
      </c>
      <c r="K20" s="76">
        <v>0</v>
      </c>
      <c r="L20" s="76">
        <v>0</v>
      </c>
      <c r="M20" s="76">
        <v>0</v>
      </c>
      <c r="N20" s="76">
        <v>0</v>
      </c>
      <c r="O20" s="76">
        <v>0</v>
      </c>
      <c r="P20" s="76">
        <v>0</v>
      </c>
      <c r="Q20" s="76">
        <v>0</v>
      </c>
      <c r="R20" s="76">
        <v>0</v>
      </c>
      <c r="S20" s="76">
        <v>0</v>
      </c>
    </row>
    <row r="21" spans="1:19">
      <c r="A21" s="5" t="s">
        <v>343</v>
      </c>
      <c r="B21" s="16" t="s">
        <v>127</v>
      </c>
      <c r="C21" s="76">
        <v>0</v>
      </c>
      <c r="D21" s="76">
        <v>0</v>
      </c>
      <c r="E21" s="76">
        <v>0</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0</v>
      </c>
      <c r="D22" s="76">
        <v>0</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0</v>
      </c>
      <c r="D23" s="76">
        <v>0</v>
      </c>
      <c r="E23" s="76">
        <v>0</v>
      </c>
      <c r="F23" s="76">
        <v>0</v>
      </c>
      <c r="G23" s="76">
        <v>0</v>
      </c>
      <c r="H23" s="76">
        <v>0</v>
      </c>
      <c r="I23" s="76">
        <v>0</v>
      </c>
      <c r="J23" s="76">
        <v>0</v>
      </c>
      <c r="K23" s="76">
        <v>0</v>
      </c>
      <c r="L23" s="76">
        <v>0</v>
      </c>
      <c r="M23" s="76">
        <v>0</v>
      </c>
      <c r="N23" s="76">
        <v>0</v>
      </c>
      <c r="O23" s="76">
        <v>0</v>
      </c>
      <c r="P23" s="76">
        <v>0</v>
      </c>
      <c r="Q23" s="76">
        <v>0</v>
      </c>
      <c r="R23" s="76">
        <v>0</v>
      </c>
      <c r="S23" s="76">
        <v>0</v>
      </c>
    </row>
    <row r="24" spans="1:19">
      <c r="A24" s="5" t="s">
        <v>346</v>
      </c>
      <c r="B24" s="16" t="s">
        <v>130</v>
      </c>
      <c r="C24" s="76">
        <v>0</v>
      </c>
      <c r="D24" s="76">
        <v>0</v>
      </c>
      <c r="E24" s="76">
        <v>0</v>
      </c>
      <c r="F24" s="76">
        <v>0</v>
      </c>
      <c r="G24" s="76">
        <v>0</v>
      </c>
      <c r="H24" s="76">
        <v>0</v>
      </c>
      <c r="I24" s="76">
        <v>0</v>
      </c>
      <c r="J24" s="76">
        <v>0</v>
      </c>
      <c r="K24" s="76">
        <v>0</v>
      </c>
      <c r="L24" s="76">
        <v>0</v>
      </c>
      <c r="M24" s="76">
        <v>0</v>
      </c>
      <c r="N24" s="76">
        <v>0</v>
      </c>
      <c r="O24" s="76">
        <v>0</v>
      </c>
      <c r="P24" s="76">
        <v>0</v>
      </c>
      <c r="Q24" s="76">
        <v>0</v>
      </c>
      <c r="R24" s="76">
        <v>0</v>
      </c>
      <c r="S24" s="76">
        <v>0</v>
      </c>
    </row>
    <row r="25" spans="1:19">
      <c r="A25" s="5" t="s">
        <v>347</v>
      </c>
      <c r="B25" s="16" t="s">
        <v>131</v>
      </c>
      <c r="C25" s="76">
        <v>0</v>
      </c>
      <c r="D25" s="76">
        <v>0</v>
      </c>
      <c r="E25" s="76">
        <v>0</v>
      </c>
      <c r="F25" s="76">
        <v>0</v>
      </c>
      <c r="G25" s="76">
        <v>0</v>
      </c>
      <c r="H25" s="76">
        <v>0</v>
      </c>
      <c r="I25" s="76">
        <v>0</v>
      </c>
      <c r="J25" s="76">
        <v>0</v>
      </c>
      <c r="K25" s="76">
        <v>0</v>
      </c>
      <c r="L25" s="76">
        <v>0</v>
      </c>
      <c r="M25" s="76">
        <v>0</v>
      </c>
      <c r="N25" s="76">
        <v>0</v>
      </c>
      <c r="O25" s="76">
        <v>0</v>
      </c>
      <c r="P25" s="76">
        <v>0</v>
      </c>
      <c r="Q25" s="76">
        <v>0</v>
      </c>
      <c r="R25" s="76">
        <v>0</v>
      </c>
      <c r="S25" s="76">
        <v>0</v>
      </c>
    </row>
    <row r="26" spans="1:19">
      <c r="A26" s="5" t="s">
        <v>348</v>
      </c>
      <c r="B26" s="16" t="s">
        <v>132</v>
      </c>
      <c r="C26" s="76">
        <v>0</v>
      </c>
      <c r="D26" s="76">
        <v>0</v>
      </c>
      <c r="E26" s="76">
        <v>0</v>
      </c>
      <c r="F26" s="76">
        <v>0</v>
      </c>
      <c r="G26" s="76">
        <v>0</v>
      </c>
      <c r="H26" s="76">
        <v>0</v>
      </c>
      <c r="I26" s="76">
        <v>0</v>
      </c>
      <c r="J26" s="76">
        <v>0</v>
      </c>
      <c r="K26" s="76">
        <v>0</v>
      </c>
      <c r="L26" s="76">
        <v>0</v>
      </c>
      <c r="M26" s="76">
        <v>0</v>
      </c>
      <c r="N26" s="76">
        <v>0</v>
      </c>
      <c r="O26" s="76">
        <v>0</v>
      </c>
      <c r="P26" s="76">
        <v>0</v>
      </c>
      <c r="Q26" s="76">
        <v>0</v>
      </c>
      <c r="R26" s="76">
        <v>0</v>
      </c>
      <c r="S26" s="76">
        <v>0</v>
      </c>
    </row>
    <row r="27" spans="1:19">
      <c r="A27" s="5" t="s">
        <v>349</v>
      </c>
      <c r="B27" s="16" t="s">
        <v>133</v>
      </c>
      <c r="C27" s="76">
        <v>0</v>
      </c>
      <c r="D27" s="76">
        <v>0</v>
      </c>
      <c r="E27" s="76">
        <v>0</v>
      </c>
      <c r="F27" s="76">
        <v>0</v>
      </c>
      <c r="G27" s="76">
        <v>0</v>
      </c>
      <c r="H27" s="76">
        <v>0</v>
      </c>
      <c r="I27" s="76">
        <v>0</v>
      </c>
      <c r="J27" s="76">
        <v>0</v>
      </c>
      <c r="K27" s="76">
        <v>0</v>
      </c>
      <c r="L27" s="76">
        <v>0</v>
      </c>
      <c r="M27" s="76">
        <v>0</v>
      </c>
      <c r="N27" s="76">
        <v>0</v>
      </c>
      <c r="O27" s="76">
        <v>0</v>
      </c>
      <c r="P27" s="76">
        <v>0</v>
      </c>
      <c r="Q27" s="76">
        <v>0</v>
      </c>
      <c r="R27" s="76">
        <v>0</v>
      </c>
      <c r="S27" s="76">
        <v>0</v>
      </c>
    </row>
    <row r="28" spans="1:19">
      <c r="A28" s="5" t="s">
        <v>350</v>
      </c>
      <c r="B28" s="16" t="s">
        <v>134</v>
      </c>
      <c r="C28" s="76">
        <v>0</v>
      </c>
      <c r="D28" s="76">
        <v>0</v>
      </c>
      <c r="E28" s="76">
        <v>0</v>
      </c>
      <c r="F28" s="76">
        <v>0</v>
      </c>
      <c r="G28" s="76">
        <v>0</v>
      </c>
      <c r="H28" s="76">
        <v>0</v>
      </c>
      <c r="I28" s="76">
        <v>0</v>
      </c>
      <c r="J28" s="76">
        <v>0</v>
      </c>
      <c r="K28" s="76">
        <v>0</v>
      </c>
      <c r="L28" s="76">
        <v>0</v>
      </c>
      <c r="M28" s="76">
        <v>0</v>
      </c>
      <c r="N28" s="76">
        <v>0</v>
      </c>
      <c r="O28" s="76">
        <v>0</v>
      </c>
      <c r="P28" s="76">
        <v>0</v>
      </c>
      <c r="Q28" s="76">
        <v>0</v>
      </c>
      <c r="R28" s="76">
        <v>0</v>
      </c>
      <c r="S28" s="76">
        <v>0</v>
      </c>
    </row>
    <row r="29" spans="1:19">
      <c r="A29" s="5" t="s">
        <v>351</v>
      </c>
      <c r="B29" s="16" t="s">
        <v>135</v>
      </c>
      <c r="C29" s="76">
        <v>0</v>
      </c>
      <c r="D29" s="76">
        <v>0</v>
      </c>
      <c r="E29" s="76">
        <v>0</v>
      </c>
      <c r="F29" s="76">
        <v>0</v>
      </c>
      <c r="G29" s="76">
        <v>0</v>
      </c>
      <c r="H29" s="76">
        <v>0</v>
      </c>
      <c r="I29" s="76">
        <v>0</v>
      </c>
      <c r="J29" s="76">
        <v>0</v>
      </c>
      <c r="K29" s="76">
        <v>0</v>
      </c>
      <c r="L29" s="76">
        <v>0</v>
      </c>
      <c r="M29" s="76">
        <v>0</v>
      </c>
      <c r="N29" s="76">
        <v>0</v>
      </c>
      <c r="O29" s="76">
        <v>0</v>
      </c>
      <c r="P29" s="76">
        <v>0</v>
      </c>
      <c r="Q29" s="76">
        <v>0</v>
      </c>
      <c r="R29" s="76">
        <v>0</v>
      </c>
      <c r="S29" s="76">
        <v>0</v>
      </c>
    </row>
    <row r="30" spans="1:19">
      <c r="A30" s="5" t="s">
        <v>352</v>
      </c>
      <c r="B30" s="16" t="s">
        <v>136</v>
      </c>
      <c r="C30" s="76">
        <v>0</v>
      </c>
      <c r="D30" s="76">
        <v>0</v>
      </c>
      <c r="E30" s="76">
        <v>0</v>
      </c>
      <c r="F30" s="76">
        <v>0</v>
      </c>
      <c r="G30" s="76">
        <v>0</v>
      </c>
      <c r="H30" s="76">
        <v>0</v>
      </c>
      <c r="I30" s="76">
        <v>0</v>
      </c>
      <c r="J30" s="76">
        <v>0</v>
      </c>
      <c r="K30" s="76">
        <v>0</v>
      </c>
      <c r="L30" s="76">
        <v>0</v>
      </c>
      <c r="M30" s="76">
        <v>0</v>
      </c>
      <c r="N30" s="76">
        <v>0</v>
      </c>
      <c r="O30" s="76">
        <v>0</v>
      </c>
      <c r="P30" s="76">
        <v>0</v>
      </c>
      <c r="Q30" s="76">
        <v>0</v>
      </c>
      <c r="R30" s="76">
        <v>0</v>
      </c>
      <c r="S30" s="76">
        <v>0</v>
      </c>
    </row>
    <row r="31" spans="1:19">
      <c r="A31" s="5" t="s">
        <v>353</v>
      </c>
      <c r="B31" s="16" t="s">
        <v>137</v>
      </c>
      <c r="C31" s="76">
        <v>0</v>
      </c>
      <c r="D31" s="76">
        <v>0</v>
      </c>
      <c r="E31" s="76">
        <v>0</v>
      </c>
      <c r="F31" s="76">
        <v>0</v>
      </c>
      <c r="G31" s="76">
        <v>0</v>
      </c>
      <c r="H31" s="76">
        <v>0</v>
      </c>
      <c r="I31" s="76">
        <v>0</v>
      </c>
      <c r="J31" s="76">
        <v>0</v>
      </c>
      <c r="K31" s="76">
        <v>0</v>
      </c>
      <c r="L31" s="76">
        <v>0</v>
      </c>
      <c r="M31" s="76">
        <v>0</v>
      </c>
      <c r="N31" s="76">
        <v>0</v>
      </c>
      <c r="O31" s="76">
        <v>0</v>
      </c>
      <c r="P31" s="76">
        <v>0</v>
      </c>
      <c r="Q31" s="76">
        <v>0</v>
      </c>
      <c r="R31" s="76">
        <v>0</v>
      </c>
      <c r="S31" s="76">
        <v>0</v>
      </c>
    </row>
    <row r="32" spans="1:19">
      <c r="A32" s="5" t="s">
        <v>354</v>
      </c>
      <c r="B32" s="16" t="s">
        <v>138</v>
      </c>
      <c r="C32" s="76">
        <v>633</v>
      </c>
      <c r="D32" s="76">
        <v>127</v>
      </c>
      <c r="E32" s="76">
        <v>0</v>
      </c>
      <c r="F32" s="76">
        <v>0</v>
      </c>
      <c r="G32" s="76">
        <v>0</v>
      </c>
      <c r="H32" s="76">
        <v>0</v>
      </c>
      <c r="I32" s="76">
        <v>0</v>
      </c>
      <c r="J32" s="76">
        <v>0</v>
      </c>
      <c r="K32" s="76">
        <v>0</v>
      </c>
      <c r="L32" s="76">
        <v>0</v>
      </c>
      <c r="M32" s="76">
        <v>253</v>
      </c>
      <c r="N32" s="76">
        <v>0</v>
      </c>
      <c r="O32" s="76">
        <v>253</v>
      </c>
      <c r="P32" s="76">
        <v>0</v>
      </c>
      <c r="Q32" s="76">
        <v>253</v>
      </c>
      <c r="R32" s="76">
        <v>0</v>
      </c>
      <c r="S32" s="76">
        <v>0</v>
      </c>
    </row>
    <row r="33" spans="1:19">
      <c r="A33" s="5" t="s">
        <v>355</v>
      </c>
      <c r="B33" s="16" t="s">
        <v>139</v>
      </c>
      <c r="C33" s="76">
        <v>0</v>
      </c>
      <c r="D33" s="76">
        <v>0</v>
      </c>
      <c r="E33" s="76">
        <v>0</v>
      </c>
      <c r="F33" s="76">
        <v>0</v>
      </c>
      <c r="G33" s="76">
        <v>0</v>
      </c>
      <c r="H33" s="76">
        <v>0</v>
      </c>
      <c r="I33" s="76">
        <v>0</v>
      </c>
      <c r="J33" s="76">
        <v>0</v>
      </c>
      <c r="K33" s="76">
        <v>0</v>
      </c>
      <c r="L33" s="76">
        <v>0</v>
      </c>
      <c r="M33" s="76">
        <v>0</v>
      </c>
      <c r="N33" s="76">
        <v>0</v>
      </c>
      <c r="O33" s="76">
        <v>0</v>
      </c>
      <c r="P33" s="76">
        <v>0</v>
      </c>
      <c r="Q33" s="76">
        <v>0</v>
      </c>
      <c r="R33" s="76">
        <v>0</v>
      </c>
      <c r="S33" s="76">
        <v>0</v>
      </c>
    </row>
    <row r="34" spans="1:19">
      <c r="A34" s="5" t="s">
        <v>356</v>
      </c>
      <c r="B34" s="16" t="s">
        <v>140</v>
      </c>
      <c r="C34" s="76">
        <v>0</v>
      </c>
      <c r="D34" s="76">
        <v>0</v>
      </c>
      <c r="E34" s="76">
        <v>0</v>
      </c>
      <c r="F34" s="76">
        <v>0</v>
      </c>
      <c r="G34" s="76">
        <v>0</v>
      </c>
      <c r="H34" s="76">
        <v>0</v>
      </c>
      <c r="I34" s="76">
        <v>0</v>
      </c>
      <c r="J34" s="76">
        <v>0</v>
      </c>
      <c r="K34" s="76">
        <v>0</v>
      </c>
      <c r="L34" s="76">
        <v>0</v>
      </c>
      <c r="M34" s="76">
        <v>0</v>
      </c>
      <c r="N34" s="76">
        <v>0</v>
      </c>
      <c r="O34" s="76">
        <v>0</v>
      </c>
      <c r="P34" s="76">
        <v>0</v>
      </c>
      <c r="Q34" s="76">
        <v>0</v>
      </c>
      <c r="R34" s="76">
        <v>0</v>
      </c>
      <c r="S34" s="76">
        <v>0</v>
      </c>
    </row>
    <row r="35" spans="1:19">
      <c r="A35" s="5" t="s">
        <v>357</v>
      </c>
      <c r="B35" s="16" t="s">
        <v>141</v>
      </c>
      <c r="C35" s="76">
        <v>127</v>
      </c>
      <c r="D35" s="76">
        <v>127</v>
      </c>
      <c r="E35" s="76">
        <v>0</v>
      </c>
      <c r="F35" s="76">
        <v>0</v>
      </c>
      <c r="G35" s="76">
        <v>0</v>
      </c>
      <c r="H35" s="76">
        <v>0</v>
      </c>
      <c r="I35" s="76">
        <v>0</v>
      </c>
      <c r="J35" s="76">
        <v>0</v>
      </c>
      <c r="K35" s="76">
        <v>0</v>
      </c>
      <c r="L35" s="76">
        <v>0</v>
      </c>
      <c r="M35" s="76">
        <v>0</v>
      </c>
      <c r="N35" s="76">
        <v>0</v>
      </c>
      <c r="O35" s="76">
        <v>0</v>
      </c>
      <c r="P35" s="76">
        <v>0</v>
      </c>
      <c r="Q35" s="76">
        <v>0</v>
      </c>
      <c r="R35" s="76">
        <v>0</v>
      </c>
      <c r="S35" s="76">
        <v>0</v>
      </c>
    </row>
    <row r="36" spans="1:19">
      <c r="A36" s="5" t="s">
        <v>358</v>
      </c>
      <c r="B36" s="16" t="s">
        <v>142</v>
      </c>
      <c r="C36" s="76">
        <v>505</v>
      </c>
      <c r="D36" s="76">
        <v>0</v>
      </c>
      <c r="E36" s="76">
        <v>0</v>
      </c>
      <c r="F36" s="76">
        <v>0</v>
      </c>
      <c r="G36" s="76">
        <v>0</v>
      </c>
      <c r="H36" s="76">
        <v>0</v>
      </c>
      <c r="I36" s="76">
        <v>0</v>
      </c>
      <c r="J36" s="76">
        <v>0</v>
      </c>
      <c r="K36" s="76">
        <v>0</v>
      </c>
      <c r="L36" s="76">
        <v>0</v>
      </c>
      <c r="M36" s="76">
        <v>253</v>
      </c>
      <c r="N36" s="76">
        <v>0</v>
      </c>
      <c r="O36" s="76">
        <v>253</v>
      </c>
      <c r="P36" s="76">
        <v>0</v>
      </c>
      <c r="Q36" s="76">
        <v>253</v>
      </c>
      <c r="R36" s="76">
        <v>0</v>
      </c>
      <c r="S36" s="76">
        <v>0</v>
      </c>
    </row>
    <row r="37" spans="1:19">
      <c r="A37" s="5" t="s">
        <v>359</v>
      </c>
      <c r="B37" s="16" t="s">
        <v>143</v>
      </c>
      <c r="C37" s="76">
        <v>0</v>
      </c>
      <c r="D37" s="76">
        <v>0</v>
      </c>
      <c r="E37" s="76">
        <v>0</v>
      </c>
      <c r="F37" s="76">
        <v>0</v>
      </c>
      <c r="G37" s="76">
        <v>0</v>
      </c>
      <c r="H37" s="76">
        <v>0</v>
      </c>
      <c r="I37" s="76">
        <v>0</v>
      </c>
      <c r="J37" s="76">
        <v>0</v>
      </c>
      <c r="K37" s="76">
        <v>0</v>
      </c>
      <c r="L37" s="76">
        <v>0</v>
      </c>
      <c r="M37" s="76">
        <v>0</v>
      </c>
      <c r="N37" s="76">
        <v>0</v>
      </c>
      <c r="O37" s="76">
        <v>0</v>
      </c>
      <c r="P37" s="76">
        <v>0</v>
      </c>
      <c r="Q37" s="76">
        <v>0</v>
      </c>
      <c r="R37" s="76">
        <v>0</v>
      </c>
      <c r="S37" s="76">
        <v>0</v>
      </c>
    </row>
    <row r="38" spans="1:19">
      <c r="A38" s="5" t="s">
        <v>360</v>
      </c>
      <c r="B38" s="16" t="s">
        <v>144</v>
      </c>
      <c r="C38" s="76">
        <v>0</v>
      </c>
      <c r="D38" s="76">
        <v>0</v>
      </c>
      <c r="E38" s="76">
        <v>0</v>
      </c>
      <c r="F38" s="76">
        <v>0</v>
      </c>
      <c r="G38" s="76">
        <v>0</v>
      </c>
      <c r="H38" s="76">
        <v>0</v>
      </c>
      <c r="I38" s="76">
        <v>0</v>
      </c>
      <c r="J38" s="76">
        <v>0</v>
      </c>
      <c r="K38" s="76">
        <v>0</v>
      </c>
      <c r="L38" s="76">
        <v>0</v>
      </c>
      <c r="M38" s="76">
        <v>0</v>
      </c>
      <c r="N38" s="76">
        <v>0</v>
      </c>
      <c r="O38" s="76">
        <v>0</v>
      </c>
      <c r="P38" s="76">
        <v>0</v>
      </c>
      <c r="Q38" s="76">
        <v>0</v>
      </c>
      <c r="R38" s="76">
        <v>0</v>
      </c>
      <c r="S38" s="76">
        <v>0</v>
      </c>
    </row>
    <row r="39" spans="1:19">
      <c r="A39" s="5" t="s">
        <v>361</v>
      </c>
      <c r="B39" s="16" t="s">
        <v>145</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0</v>
      </c>
    </row>
    <row r="40" spans="1:19">
      <c r="A40" s="5" t="s">
        <v>362</v>
      </c>
      <c r="B40" s="16" t="s">
        <v>146</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0</v>
      </c>
    </row>
    <row r="41" spans="1:19">
      <c r="A41" s="5" t="s">
        <v>363</v>
      </c>
      <c r="B41" s="16" t="s">
        <v>97</v>
      </c>
      <c r="C41" s="76">
        <v>15</v>
      </c>
      <c r="D41" s="76">
        <v>0</v>
      </c>
      <c r="E41" s="76">
        <v>0</v>
      </c>
      <c r="F41" s="76">
        <v>0</v>
      </c>
      <c r="G41" s="76">
        <v>0</v>
      </c>
      <c r="H41" s="76">
        <v>0</v>
      </c>
      <c r="I41" s="76">
        <v>0</v>
      </c>
      <c r="J41" s="76">
        <v>0</v>
      </c>
      <c r="K41" s="76">
        <v>0</v>
      </c>
      <c r="L41" s="76">
        <v>0</v>
      </c>
      <c r="M41" s="76">
        <v>0</v>
      </c>
      <c r="N41" s="76">
        <v>0</v>
      </c>
      <c r="O41" s="76">
        <v>0</v>
      </c>
      <c r="P41" s="76">
        <v>0</v>
      </c>
      <c r="Q41" s="76">
        <v>0</v>
      </c>
      <c r="R41" s="76">
        <v>0</v>
      </c>
      <c r="S41" s="76">
        <v>15</v>
      </c>
    </row>
    <row r="42" spans="1:19">
      <c r="A42" t="s">
        <v>152</v>
      </c>
      <c r="C42" s="76"/>
    </row>
    <row r="43" spans="1:19" ht="32.549999999999997" customHeight="1">
      <c r="A43" s="1" t="s">
        <v>38</v>
      </c>
    </row>
    <row r="44" spans="1:19">
      <c r="A44" t="s">
        <v>51</v>
      </c>
      <c r="B44" s="18" t="s">
        <v>48</v>
      </c>
    </row>
    <row r="45" spans="1:19">
      <c r="A45" t="s">
        <v>52</v>
      </c>
      <c r="B45" s="18" t="s">
        <v>148</v>
      </c>
    </row>
    <row r="46" spans="1:19">
      <c r="A46" t="s">
        <v>53</v>
      </c>
      <c r="B46" s="18" t="s">
        <v>149</v>
      </c>
    </row>
    <row r="47" spans="1:19">
      <c r="A47" t="s">
        <v>54</v>
      </c>
      <c r="B47" s="18" t="s">
        <v>150</v>
      </c>
    </row>
    <row r="48" spans="1:19">
      <c r="A48" t="s">
        <v>329</v>
      </c>
      <c r="B48" s="19" t="s">
        <v>41</v>
      </c>
    </row>
    <row r="49" spans="1:2">
      <c r="A49" t="s">
        <v>55</v>
      </c>
      <c r="B49" s="18" t="s">
        <v>42</v>
      </c>
    </row>
    <row r="50" spans="1:2">
      <c r="A50" t="s">
        <v>56</v>
      </c>
      <c r="B50" s="18" t="s">
        <v>43</v>
      </c>
    </row>
    <row r="51" spans="1:2">
      <c r="A51" t="s">
        <v>332</v>
      </c>
      <c r="B51" s="19" t="s">
        <v>44</v>
      </c>
    </row>
    <row r="52" spans="1:2">
      <c r="A52" t="s">
        <v>57</v>
      </c>
      <c r="B52" s="18" t="s">
        <v>151</v>
      </c>
    </row>
    <row r="53" spans="1:2">
      <c r="A53" t="s">
        <v>58</v>
      </c>
      <c r="B53" s="18" t="s">
        <v>50</v>
      </c>
    </row>
  </sheetData>
  <hyperlinks>
    <hyperlink ref="B51" r:id="rId1" xr:uid="{3ADB3DE6-8BAE-4611-A20E-8AB99BD5448A}"/>
    <hyperlink ref="B48" r:id="rId2" display="https://www.ons.gov.uk/peoplepopulationandcommunity/healthandsocialcare/healthcaresystem/methodologies/introductiontohealthaccounts" xr:uid="{B4611066-A612-4AF9-951F-1CFECE0FF3AC}"/>
  </hyperlinks>
  <pageMargins left="0.7" right="0.7" top="0.75" bottom="0.75" header="0.3" footer="0.3"/>
  <pageSetup paperSize="9" orientation="portrait" r:id="rId3"/>
  <tableParts count="1">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DD8BF-0343-48F6-A31F-2CA2C77E218A}">
  <sheetPr>
    <tabColor theme="5" tint="0.59999389629810485"/>
  </sheetPr>
  <dimension ref="A1:S53"/>
  <sheetViews>
    <sheetView showGridLines="0" zoomScale="70" zoomScaleNormal="70" workbookViewId="0"/>
  </sheetViews>
  <sheetFormatPr defaultRowHeight="15"/>
  <cols>
    <col min="1" max="1" width="15.83203125" customWidth="1"/>
    <col min="2" max="2" width="60.21875" bestFit="1" customWidth="1"/>
    <col min="3" max="3" width="10.94140625" customWidth="1"/>
    <col min="5" max="5" width="14.5546875" customWidth="1"/>
    <col min="6" max="6" width="13.0546875" customWidth="1"/>
    <col min="7" max="7" width="11" customWidth="1"/>
    <col min="9" max="9" width="10.94140625" customWidth="1"/>
    <col min="10" max="10" width="11.6640625" customWidth="1"/>
    <col min="11" max="11" width="12.6640625" customWidth="1"/>
    <col min="12" max="13" width="11.94140625" customWidth="1"/>
    <col min="14" max="14" width="13.94140625" customWidth="1"/>
    <col min="15" max="15" width="10.21875" customWidth="1"/>
    <col min="16" max="16" width="12" customWidth="1"/>
    <col min="17" max="17" width="12.0546875" customWidth="1"/>
  </cols>
  <sheetData>
    <row r="1" spans="1:19" ht="17.649999999999999">
      <c r="A1" s="12" t="s">
        <v>371</v>
      </c>
    </row>
    <row r="2" spans="1:19" ht="22.5" customHeight="1">
      <c r="A2" s="11" t="s">
        <v>364</v>
      </c>
    </row>
    <row r="3" spans="1:19" ht="41" customHeight="1">
      <c r="A3" s="11" t="s">
        <v>64</v>
      </c>
    </row>
    <row r="4" spans="1:19" ht="38.549999999999997" customHeight="1">
      <c r="A4" s="88" t="s">
        <v>366</v>
      </c>
      <c r="B4" s="37" t="s">
        <v>147</v>
      </c>
      <c r="C4" s="23" t="s">
        <v>66</v>
      </c>
      <c r="D4" s="24" t="s">
        <v>67</v>
      </c>
      <c r="E4" s="25" t="s">
        <v>68</v>
      </c>
      <c r="F4" s="25" t="s">
        <v>69</v>
      </c>
      <c r="G4" s="25" t="s">
        <v>70</v>
      </c>
      <c r="H4" s="25" t="s">
        <v>71</v>
      </c>
      <c r="I4" s="25" t="s">
        <v>72</v>
      </c>
      <c r="J4" s="25" t="s">
        <v>156</v>
      </c>
      <c r="K4" s="25" t="s">
        <v>73</v>
      </c>
      <c r="L4" s="25" t="s">
        <v>74</v>
      </c>
      <c r="M4" s="25" t="s">
        <v>75</v>
      </c>
      <c r="N4" s="25" t="s">
        <v>76</v>
      </c>
      <c r="O4" s="25" t="s">
        <v>77</v>
      </c>
      <c r="P4" s="25" t="s">
        <v>78</v>
      </c>
      <c r="Q4" s="25" t="s">
        <v>79</v>
      </c>
      <c r="R4" s="25" t="s">
        <v>80</v>
      </c>
      <c r="S4" s="25" t="s">
        <v>81</v>
      </c>
    </row>
    <row r="5" spans="1:19" ht="83.55" customHeight="1">
      <c r="A5" s="22" t="s">
        <v>155</v>
      </c>
      <c r="B5" s="14" t="s">
        <v>155</v>
      </c>
      <c r="C5" s="20" t="s">
        <v>82</v>
      </c>
      <c r="D5" s="21" t="s">
        <v>83</v>
      </c>
      <c r="E5" s="21" t="s">
        <v>84</v>
      </c>
      <c r="F5" s="21" t="s">
        <v>85</v>
      </c>
      <c r="G5" s="21" t="s">
        <v>86</v>
      </c>
      <c r="H5" s="21" t="s">
        <v>87</v>
      </c>
      <c r="I5" s="21" t="s">
        <v>88</v>
      </c>
      <c r="J5" s="21" t="s">
        <v>367</v>
      </c>
      <c r="K5" s="21" t="s">
        <v>89</v>
      </c>
      <c r="L5" s="21" t="s">
        <v>90</v>
      </c>
      <c r="M5" s="21" t="s">
        <v>91</v>
      </c>
      <c r="N5" s="21" t="s">
        <v>92</v>
      </c>
      <c r="O5" s="21" t="s">
        <v>93</v>
      </c>
      <c r="P5" s="21" t="s">
        <v>94</v>
      </c>
      <c r="Q5" s="21" t="s">
        <v>95</v>
      </c>
      <c r="R5" s="21" t="s">
        <v>96</v>
      </c>
      <c r="S5" s="21" t="s">
        <v>97</v>
      </c>
    </row>
    <row r="6" spans="1:19">
      <c r="A6" s="13" t="s">
        <v>98</v>
      </c>
      <c r="B6" s="15" t="s">
        <v>99</v>
      </c>
      <c r="C6" s="76">
        <v>32293</v>
      </c>
      <c r="D6" s="76">
        <v>1170</v>
      </c>
      <c r="E6" s="76">
        <v>9768</v>
      </c>
      <c r="F6" s="76">
        <v>5766</v>
      </c>
      <c r="G6" s="76">
        <v>866</v>
      </c>
      <c r="H6" s="76">
        <v>1757</v>
      </c>
      <c r="I6" s="76">
        <v>1860</v>
      </c>
      <c r="J6" s="76">
        <v>1284</v>
      </c>
      <c r="K6" s="76">
        <v>0</v>
      </c>
      <c r="L6" s="76">
        <v>5844</v>
      </c>
      <c r="M6" s="76">
        <v>0</v>
      </c>
      <c r="N6" s="76">
        <v>0</v>
      </c>
      <c r="O6" s="76">
        <v>9745</v>
      </c>
      <c r="P6" s="76">
        <v>0</v>
      </c>
      <c r="Q6" s="76">
        <v>9745</v>
      </c>
      <c r="R6" s="76">
        <v>0</v>
      </c>
      <c r="S6" s="76">
        <v>0</v>
      </c>
    </row>
    <row r="7" spans="1:19">
      <c r="A7" s="5" t="s">
        <v>100</v>
      </c>
      <c r="B7" s="16" t="s">
        <v>101</v>
      </c>
      <c r="C7" s="76">
        <v>4591</v>
      </c>
      <c r="D7" s="76">
        <v>1108</v>
      </c>
      <c r="E7" s="76">
        <v>3</v>
      </c>
      <c r="F7" s="76">
        <v>3480</v>
      </c>
      <c r="G7" s="76">
        <v>866</v>
      </c>
      <c r="H7" s="76">
        <v>1330</v>
      </c>
      <c r="I7" s="76">
        <v>1</v>
      </c>
      <c r="J7" s="76">
        <v>1284</v>
      </c>
      <c r="K7" s="76">
        <v>0</v>
      </c>
      <c r="L7" s="76">
        <v>0</v>
      </c>
      <c r="M7" s="76">
        <v>0</v>
      </c>
      <c r="N7" s="76">
        <v>0</v>
      </c>
      <c r="O7" s="76">
        <v>0</v>
      </c>
      <c r="P7" s="76">
        <v>0</v>
      </c>
      <c r="Q7" s="76">
        <v>0</v>
      </c>
      <c r="R7" s="76">
        <v>0</v>
      </c>
      <c r="S7" s="76">
        <v>0</v>
      </c>
    </row>
    <row r="8" spans="1:19">
      <c r="A8" s="5" t="s">
        <v>102</v>
      </c>
      <c r="B8" s="16" t="s">
        <v>103</v>
      </c>
      <c r="C8" s="76">
        <v>446</v>
      </c>
      <c r="D8" s="76">
        <v>443</v>
      </c>
      <c r="E8" s="76">
        <v>3</v>
      </c>
      <c r="F8" s="76">
        <v>0</v>
      </c>
      <c r="G8" s="76">
        <v>0</v>
      </c>
      <c r="H8" s="76">
        <v>0</v>
      </c>
      <c r="I8" s="76">
        <v>0</v>
      </c>
      <c r="J8" s="76">
        <v>0</v>
      </c>
      <c r="K8" s="76">
        <v>0</v>
      </c>
      <c r="L8" s="76">
        <v>0</v>
      </c>
      <c r="M8" s="76">
        <v>0</v>
      </c>
      <c r="N8" s="76">
        <v>0</v>
      </c>
      <c r="O8" s="76">
        <v>0</v>
      </c>
      <c r="P8" s="76">
        <v>0</v>
      </c>
      <c r="Q8" s="76">
        <v>0</v>
      </c>
      <c r="R8" s="76">
        <v>0</v>
      </c>
      <c r="S8" s="76">
        <v>0</v>
      </c>
    </row>
    <row r="9" spans="1:19">
      <c r="A9" s="5" t="s">
        <v>104</v>
      </c>
      <c r="B9" s="16" t="s">
        <v>105</v>
      </c>
      <c r="C9" s="76">
        <v>193</v>
      </c>
      <c r="D9" s="76">
        <v>193</v>
      </c>
      <c r="E9" s="76">
        <v>0</v>
      </c>
      <c r="F9" s="76">
        <v>0</v>
      </c>
      <c r="G9" s="76">
        <v>0</v>
      </c>
      <c r="H9" s="76">
        <v>0</v>
      </c>
      <c r="I9" s="76">
        <v>0</v>
      </c>
      <c r="J9" s="76">
        <v>0</v>
      </c>
      <c r="K9" s="76">
        <v>0</v>
      </c>
      <c r="L9" s="76">
        <v>0</v>
      </c>
      <c r="M9" s="76">
        <v>0</v>
      </c>
      <c r="N9" s="76">
        <v>0</v>
      </c>
      <c r="O9" s="76">
        <v>0</v>
      </c>
      <c r="P9" s="76">
        <v>0</v>
      </c>
      <c r="Q9" s="76">
        <v>0</v>
      </c>
      <c r="R9" s="76">
        <v>0</v>
      </c>
      <c r="S9" s="76">
        <v>0</v>
      </c>
    </row>
    <row r="10" spans="1:19">
      <c r="A10" s="5" t="s">
        <v>106</v>
      </c>
      <c r="B10" s="16" t="s">
        <v>107</v>
      </c>
      <c r="C10" s="76">
        <v>3913</v>
      </c>
      <c r="D10" s="76">
        <v>472</v>
      </c>
      <c r="E10" s="76">
        <v>0</v>
      </c>
      <c r="F10" s="76">
        <v>3442</v>
      </c>
      <c r="G10" s="76">
        <v>834</v>
      </c>
      <c r="H10" s="76">
        <v>1324</v>
      </c>
      <c r="I10" s="76">
        <v>0</v>
      </c>
      <c r="J10" s="76">
        <v>1284</v>
      </c>
      <c r="K10" s="76">
        <v>0</v>
      </c>
      <c r="L10" s="76">
        <v>0</v>
      </c>
      <c r="M10" s="76">
        <v>0</v>
      </c>
      <c r="N10" s="76">
        <v>0</v>
      </c>
      <c r="O10" s="76">
        <v>0</v>
      </c>
      <c r="P10" s="76">
        <v>0</v>
      </c>
      <c r="Q10" s="76">
        <v>0</v>
      </c>
      <c r="R10" s="76">
        <v>0</v>
      </c>
      <c r="S10" s="76">
        <v>0</v>
      </c>
    </row>
    <row r="11" spans="1:19">
      <c r="A11" s="5" t="s">
        <v>108</v>
      </c>
      <c r="B11" s="16" t="s">
        <v>109</v>
      </c>
      <c r="C11" s="76">
        <v>3913</v>
      </c>
      <c r="D11" s="76">
        <v>472</v>
      </c>
      <c r="E11" s="76">
        <v>0</v>
      </c>
      <c r="F11" s="76">
        <v>3442</v>
      </c>
      <c r="G11" s="76">
        <v>834</v>
      </c>
      <c r="H11" s="76">
        <v>1324</v>
      </c>
      <c r="I11" s="76">
        <v>0</v>
      </c>
      <c r="J11" s="76">
        <v>1284</v>
      </c>
      <c r="K11" s="76">
        <v>0</v>
      </c>
      <c r="L11" s="76">
        <v>0</v>
      </c>
      <c r="M11" s="76">
        <v>0</v>
      </c>
      <c r="N11" s="76">
        <v>0</v>
      </c>
      <c r="O11" s="76">
        <v>0</v>
      </c>
      <c r="P11" s="76">
        <v>0</v>
      </c>
      <c r="Q11" s="76">
        <v>0</v>
      </c>
      <c r="R11" s="76">
        <v>0</v>
      </c>
      <c r="S11" s="76">
        <v>0</v>
      </c>
    </row>
    <row r="12" spans="1:19">
      <c r="A12" s="5" t="s">
        <v>110</v>
      </c>
      <c r="B12" s="16" t="s">
        <v>111</v>
      </c>
      <c r="C12" s="76">
        <v>834</v>
      </c>
      <c r="D12" s="76">
        <v>0</v>
      </c>
      <c r="E12" s="76">
        <v>0</v>
      </c>
      <c r="F12" s="76">
        <v>834</v>
      </c>
      <c r="G12" s="76">
        <v>834</v>
      </c>
      <c r="H12" s="76">
        <v>0</v>
      </c>
      <c r="I12" s="76">
        <v>0</v>
      </c>
      <c r="J12" s="76">
        <v>0</v>
      </c>
      <c r="K12" s="76">
        <v>0</v>
      </c>
      <c r="L12" s="76">
        <v>0</v>
      </c>
      <c r="M12" s="76">
        <v>0</v>
      </c>
      <c r="N12" s="76">
        <v>0</v>
      </c>
      <c r="O12" s="76">
        <v>0</v>
      </c>
      <c r="P12" s="76">
        <v>0</v>
      </c>
      <c r="Q12" s="76">
        <v>0</v>
      </c>
      <c r="R12" s="76">
        <v>0</v>
      </c>
      <c r="S12" s="76">
        <v>0</v>
      </c>
    </row>
    <row r="13" spans="1:19">
      <c r="A13" s="5" t="s">
        <v>112</v>
      </c>
      <c r="B13" s="16" t="s">
        <v>113</v>
      </c>
      <c r="C13" s="76">
        <v>1324</v>
      </c>
      <c r="D13" s="76">
        <v>0</v>
      </c>
      <c r="E13" s="76">
        <v>0</v>
      </c>
      <c r="F13" s="76">
        <v>1324</v>
      </c>
      <c r="G13" s="76">
        <v>0</v>
      </c>
      <c r="H13" s="76">
        <v>1324</v>
      </c>
      <c r="I13" s="76">
        <v>0</v>
      </c>
      <c r="J13" s="76">
        <v>0</v>
      </c>
      <c r="K13" s="76">
        <v>0</v>
      </c>
      <c r="L13" s="76">
        <v>0</v>
      </c>
      <c r="M13" s="76">
        <v>0</v>
      </c>
      <c r="N13" s="76">
        <v>0</v>
      </c>
      <c r="O13" s="76">
        <v>0</v>
      </c>
      <c r="P13" s="76">
        <v>0</v>
      </c>
      <c r="Q13" s="76">
        <v>0</v>
      </c>
      <c r="R13" s="76">
        <v>0</v>
      </c>
      <c r="S13" s="76">
        <v>0</v>
      </c>
    </row>
    <row r="14" spans="1:19">
      <c r="A14" s="5" t="s">
        <v>114</v>
      </c>
      <c r="B14" s="16" t="s">
        <v>115</v>
      </c>
      <c r="C14" s="76">
        <v>472</v>
      </c>
      <c r="D14" s="76">
        <v>472</v>
      </c>
      <c r="E14" s="76">
        <v>0</v>
      </c>
      <c r="F14" s="76">
        <v>0</v>
      </c>
      <c r="G14" s="76">
        <v>0</v>
      </c>
      <c r="H14" s="76">
        <v>0</v>
      </c>
      <c r="I14" s="76">
        <v>0</v>
      </c>
      <c r="J14" s="76">
        <v>0</v>
      </c>
      <c r="K14" s="76">
        <v>0</v>
      </c>
      <c r="L14" s="76">
        <v>0</v>
      </c>
      <c r="M14" s="76">
        <v>0</v>
      </c>
      <c r="N14" s="76">
        <v>0</v>
      </c>
      <c r="O14" s="76">
        <v>0</v>
      </c>
      <c r="P14" s="76">
        <v>0</v>
      </c>
      <c r="Q14" s="76">
        <v>0</v>
      </c>
      <c r="R14" s="76">
        <v>0</v>
      </c>
      <c r="S14" s="76">
        <v>0</v>
      </c>
    </row>
    <row r="15" spans="1:19">
      <c r="A15" s="5" t="s">
        <v>116</v>
      </c>
      <c r="B15" s="16" t="s">
        <v>117</v>
      </c>
      <c r="C15" s="76">
        <v>1284</v>
      </c>
      <c r="D15" s="76">
        <v>0</v>
      </c>
      <c r="E15" s="76">
        <v>0</v>
      </c>
      <c r="F15" s="76">
        <v>1284</v>
      </c>
      <c r="G15" s="76">
        <v>0</v>
      </c>
      <c r="H15" s="76">
        <v>0</v>
      </c>
      <c r="I15" s="76">
        <v>0</v>
      </c>
      <c r="J15" s="76">
        <v>1284</v>
      </c>
      <c r="K15" s="76">
        <v>0</v>
      </c>
      <c r="L15" s="76">
        <v>0</v>
      </c>
      <c r="M15" s="76">
        <v>0</v>
      </c>
      <c r="N15" s="76">
        <v>0</v>
      </c>
      <c r="O15" s="76">
        <v>0</v>
      </c>
      <c r="P15" s="76">
        <v>0</v>
      </c>
      <c r="Q15" s="76">
        <v>0</v>
      </c>
      <c r="R15" s="76">
        <v>0</v>
      </c>
      <c r="S15" s="76">
        <v>0</v>
      </c>
    </row>
    <row r="16" spans="1:19">
      <c r="A16" s="5" t="s">
        <v>118</v>
      </c>
      <c r="B16" s="16" t="s">
        <v>119</v>
      </c>
      <c r="C16" s="76">
        <v>0</v>
      </c>
      <c r="D16" s="76">
        <v>0</v>
      </c>
      <c r="E16" s="76">
        <v>0</v>
      </c>
      <c r="F16" s="76">
        <v>0</v>
      </c>
      <c r="G16" s="76">
        <v>0</v>
      </c>
      <c r="H16" s="76">
        <v>0</v>
      </c>
      <c r="I16" s="76">
        <v>0</v>
      </c>
      <c r="J16" s="76">
        <v>0</v>
      </c>
      <c r="K16" s="76">
        <v>0</v>
      </c>
      <c r="L16" s="76">
        <v>0</v>
      </c>
      <c r="M16" s="76">
        <v>0</v>
      </c>
      <c r="N16" s="76">
        <v>0</v>
      </c>
      <c r="O16" s="76">
        <v>0</v>
      </c>
      <c r="P16" s="76">
        <v>0</v>
      </c>
      <c r="Q16" s="76">
        <v>0</v>
      </c>
      <c r="R16" s="76">
        <v>0</v>
      </c>
      <c r="S16" s="76">
        <v>0</v>
      </c>
    </row>
    <row r="17" spans="1:19">
      <c r="A17" s="5" t="s">
        <v>120</v>
      </c>
      <c r="B17" s="16" t="s">
        <v>121</v>
      </c>
      <c r="C17" s="76">
        <v>38</v>
      </c>
      <c r="D17" s="76">
        <v>0</v>
      </c>
      <c r="E17" s="76">
        <v>0</v>
      </c>
      <c r="F17" s="76">
        <v>38</v>
      </c>
      <c r="G17" s="76">
        <v>32</v>
      </c>
      <c r="H17" s="76">
        <v>6</v>
      </c>
      <c r="I17" s="76">
        <v>1</v>
      </c>
      <c r="J17" s="76">
        <v>0</v>
      </c>
      <c r="K17" s="76">
        <v>0</v>
      </c>
      <c r="L17" s="76">
        <v>0</v>
      </c>
      <c r="M17" s="76">
        <v>0</v>
      </c>
      <c r="N17" s="76">
        <v>0</v>
      </c>
      <c r="O17" s="76">
        <v>0</v>
      </c>
      <c r="P17" s="76">
        <v>0</v>
      </c>
      <c r="Q17" s="76">
        <v>0</v>
      </c>
      <c r="R17" s="76">
        <v>0</v>
      </c>
      <c r="S17" s="76">
        <v>0</v>
      </c>
    </row>
    <row r="18" spans="1:19">
      <c r="A18" s="5" t="s">
        <v>122</v>
      </c>
      <c r="B18" s="16" t="s">
        <v>123</v>
      </c>
      <c r="C18" s="76">
        <v>38</v>
      </c>
      <c r="D18" s="76">
        <v>0</v>
      </c>
      <c r="E18" s="76">
        <v>0</v>
      </c>
      <c r="F18" s="76">
        <v>38</v>
      </c>
      <c r="G18" s="76">
        <v>32</v>
      </c>
      <c r="H18" s="76">
        <v>6</v>
      </c>
      <c r="I18" s="76">
        <v>1</v>
      </c>
      <c r="J18" s="76">
        <v>0</v>
      </c>
      <c r="K18" s="76">
        <v>0</v>
      </c>
      <c r="L18" s="76">
        <v>0</v>
      </c>
      <c r="M18" s="76">
        <v>0</v>
      </c>
      <c r="N18" s="76">
        <v>0</v>
      </c>
      <c r="O18" s="76">
        <v>0</v>
      </c>
      <c r="P18" s="76">
        <v>0</v>
      </c>
      <c r="Q18" s="76">
        <v>0</v>
      </c>
      <c r="R18" s="76">
        <v>0</v>
      </c>
      <c r="S18" s="76">
        <v>0</v>
      </c>
    </row>
    <row r="19" spans="1:19">
      <c r="A19" s="5" t="s">
        <v>124</v>
      </c>
      <c r="B19" s="16" t="s">
        <v>125</v>
      </c>
      <c r="C19" s="76">
        <v>0</v>
      </c>
      <c r="D19" s="76">
        <v>0</v>
      </c>
      <c r="E19" s="76">
        <v>0</v>
      </c>
      <c r="F19" s="76">
        <v>0</v>
      </c>
      <c r="G19" s="76">
        <v>0</v>
      </c>
      <c r="H19" s="76">
        <v>0</v>
      </c>
      <c r="I19" s="76">
        <v>0</v>
      </c>
      <c r="J19" s="76">
        <v>0</v>
      </c>
      <c r="K19" s="76">
        <v>0</v>
      </c>
      <c r="L19" s="76">
        <v>0</v>
      </c>
      <c r="M19" s="76">
        <v>0</v>
      </c>
      <c r="N19" s="76">
        <v>0</v>
      </c>
      <c r="O19" s="76">
        <v>0</v>
      </c>
      <c r="P19" s="76">
        <v>0</v>
      </c>
      <c r="Q19" s="76">
        <v>0</v>
      </c>
      <c r="R19" s="76">
        <v>0</v>
      </c>
      <c r="S19" s="76">
        <v>0</v>
      </c>
    </row>
    <row r="20" spans="1:19">
      <c r="A20" s="5" t="s">
        <v>342</v>
      </c>
      <c r="B20" s="16" t="s">
        <v>126</v>
      </c>
      <c r="C20" s="76">
        <v>11624</v>
      </c>
      <c r="D20" s="76">
        <v>0</v>
      </c>
      <c r="E20" s="76">
        <v>9765</v>
      </c>
      <c r="F20" s="76">
        <v>1859</v>
      </c>
      <c r="G20" s="76">
        <v>0</v>
      </c>
      <c r="H20" s="76">
        <v>0</v>
      </c>
      <c r="I20" s="76">
        <v>1859</v>
      </c>
      <c r="J20" s="76">
        <v>0</v>
      </c>
      <c r="K20" s="76">
        <v>0</v>
      </c>
      <c r="L20" s="76">
        <v>0</v>
      </c>
      <c r="M20" s="76">
        <v>0</v>
      </c>
      <c r="N20" s="76">
        <v>0</v>
      </c>
      <c r="O20" s="76">
        <v>0</v>
      </c>
      <c r="P20" s="76">
        <v>0</v>
      </c>
      <c r="Q20" s="76">
        <v>0</v>
      </c>
      <c r="R20" s="76">
        <v>0</v>
      </c>
      <c r="S20" s="76">
        <v>0</v>
      </c>
    </row>
    <row r="21" spans="1:19">
      <c r="A21" s="5" t="s">
        <v>343</v>
      </c>
      <c r="B21" s="16" t="s">
        <v>127</v>
      </c>
      <c r="C21" s="76">
        <v>9765</v>
      </c>
      <c r="D21" s="76">
        <v>0</v>
      </c>
      <c r="E21" s="76">
        <v>9765</v>
      </c>
      <c r="F21" s="76">
        <v>0</v>
      </c>
      <c r="G21" s="76">
        <v>0</v>
      </c>
      <c r="H21" s="76">
        <v>0</v>
      </c>
      <c r="I21" s="76">
        <v>0</v>
      </c>
      <c r="J21" s="76">
        <v>0</v>
      </c>
      <c r="K21" s="76">
        <v>0</v>
      </c>
      <c r="L21" s="76">
        <v>0</v>
      </c>
      <c r="M21" s="76">
        <v>0</v>
      </c>
      <c r="N21" s="76">
        <v>0</v>
      </c>
      <c r="O21" s="76">
        <v>0</v>
      </c>
      <c r="P21" s="76">
        <v>0</v>
      </c>
      <c r="Q21" s="76">
        <v>0</v>
      </c>
      <c r="R21" s="76">
        <v>0</v>
      </c>
      <c r="S21" s="76">
        <v>0</v>
      </c>
    </row>
    <row r="22" spans="1:19">
      <c r="A22" s="5" t="s">
        <v>344</v>
      </c>
      <c r="B22" s="16" t="s">
        <v>128</v>
      </c>
      <c r="C22" s="76">
        <v>0</v>
      </c>
      <c r="D22" s="76">
        <v>0</v>
      </c>
      <c r="E22" s="76">
        <v>0</v>
      </c>
      <c r="F22" s="76">
        <v>0</v>
      </c>
      <c r="G22" s="76">
        <v>0</v>
      </c>
      <c r="H22" s="76">
        <v>0</v>
      </c>
      <c r="I22" s="76">
        <v>0</v>
      </c>
      <c r="J22" s="76">
        <v>0</v>
      </c>
      <c r="K22" s="76">
        <v>0</v>
      </c>
      <c r="L22" s="76">
        <v>0</v>
      </c>
      <c r="M22" s="76">
        <v>0</v>
      </c>
      <c r="N22" s="76">
        <v>0</v>
      </c>
      <c r="O22" s="76">
        <v>0</v>
      </c>
      <c r="P22" s="76">
        <v>0</v>
      </c>
      <c r="Q22" s="76">
        <v>0</v>
      </c>
      <c r="R22" s="76">
        <v>0</v>
      </c>
      <c r="S22" s="76">
        <v>0</v>
      </c>
    </row>
    <row r="23" spans="1:19">
      <c r="A23" s="5" t="s">
        <v>345</v>
      </c>
      <c r="B23" s="16" t="s">
        <v>129</v>
      </c>
      <c r="C23" s="76">
        <v>0</v>
      </c>
      <c r="D23" s="76">
        <v>0</v>
      </c>
      <c r="E23" s="76">
        <v>0</v>
      </c>
      <c r="F23" s="76">
        <v>0</v>
      </c>
      <c r="G23" s="76">
        <v>0</v>
      </c>
      <c r="H23" s="76">
        <v>0</v>
      </c>
      <c r="I23" s="76">
        <v>0</v>
      </c>
      <c r="J23" s="76">
        <v>0</v>
      </c>
      <c r="K23" s="76">
        <v>0</v>
      </c>
      <c r="L23" s="76">
        <v>0</v>
      </c>
      <c r="M23" s="76">
        <v>0</v>
      </c>
      <c r="N23" s="76">
        <v>0</v>
      </c>
      <c r="O23" s="76">
        <v>0</v>
      </c>
      <c r="P23" s="76">
        <v>0</v>
      </c>
      <c r="Q23" s="76">
        <v>0</v>
      </c>
      <c r="R23" s="76">
        <v>0</v>
      </c>
      <c r="S23" s="76">
        <v>0</v>
      </c>
    </row>
    <row r="24" spans="1:19">
      <c r="A24" s="5" t="s">
        <v>346</v>
      </c>
      <c r="B24" s="16" t="s">
        <v>130</v>
      </c>
      <c r="C24" s="76">
        <v>1859</v>
      </c>
      <c r="D24" s="76">
        <v>0</v>
      </c>
      <c r="E24" s="76">
        <v>0</v>
      </c>
      <c r="F24" s="76">
        <v>1859</v>
      </c>
      <c r="G24" s="76">
        <v>0</v>
      </c>
      <c r="H24" s="76">
        <v>0</v>
      </c>
      <c r="I24" s="76">
        <v>1859</v>
      </c>
      <c r="J24" s="76">
        <v>0</v>
      </c>
      <c r="K24" s="76">
        <v>0</v>
      </c>
      <c r="L24" s="76">
        <v>0</v>
      </c>
      <c r="M24" s="76">
        <v>0</v>
      </c>
      <c r="N24" s="76">
        <v>0</v>
      </c>
      <c r="O24" s="76">
        <v>0</v>
      </c>
      <c r="P24" s="76">
        <v>0</v>
      </c>
      <c r="Q24" s="76">
        <v>0</v>
      </c>
      <c r="R24" s="76">
        <v>0</v>
      </c>
      <c r="S24" s="76">
        <v>0</v>
      </c>
    </row>
    <row r="25" spans="1:19">
      <c r="A25" s="5" t="s">
        <v>347</v>
      </c>
      <c r="B25" s="16" t="s">
        <v>131</v>
      </c>
      <c r="C25" s="76">
        <v>0</v>
      </c>
      <c r="D25" s="76">
        <v>0</v>
      </c>
      <c r="E25" s="76">
        <v>0</v>
      </c>
      <c r="F25" s="76">
        <v>0</v>
      </c>
      <c r="G25" s="76">
        <v>0</v>
      </c>
      <c r="H25" s="76">
        <v>0</v>
      </c>
      <c r="I25" s="76">
        <v>0</v>
      </c>
      <c r="J25" s="76">
        <v>0</v>
      </c>
      <c r="K25" s="76">
        <v>0</v>
      </c>
      <c r="L25" s="76">
        <v>0</v>
      </c>
      <c r="M25" s="76">
        <v>0</v>
      </c>
      <c r="N25" s="76">
        <v>0</v>
      </c>
      <c r="O25" s="76">
        <v>0</v>
      </c>
      <c r="P25" s="76">
        <v>0</v>
      </c>
      <c r="Q25" s="76">
        <v>0</v>
      </c>
      <c r="R25" s="76">
        <v>0</v>
      </c>
      <c r="S25" s="76">
        <v>0</v>
      </c>
    </row>
    <row r="26" spans="1:19">
      <c r="A26" s="5" t="s">
        <v>348</v>
      </c>
      <c r="B26" s="16" t="s">
        <v>132</v>
      </c>
      <c r="C26" s="76">
        <v>15589</v>
      </c>
      <c r="D26" s="76">
        <v>0</v>
      </c>
      <c r="E26" s="76">
        <v>0</v>
      </c>
      <c r="F26" s="76">
        <v>0</v>
      </c>
      <c r="G26" s="76">
        <v>0</v>
      </c>
      <c r="H26" s="76">
        <v>0</v>
      </c>
      <c r="I26" s="76">
        <v>0</v>
      </c>
      <c r="J26" s="76">
        <v>0</v>
      </c>
      <c r="K26" s="76">
        <v>0</v>
      </c>
      <c r="L26" s="76">
        <v>5844</v>
      </c>
      <c r="M26" s="76">
        <v>0</v>
      </c>
      <c r="N26" s="76">
        <v>0</v>
      </c>
      <c r="O26" s="76">
        <v>9745</v>
      </c>
      <c r="P26" s="76">
        <v>0</v>
      </c>
      <c r="Q26" s="76">
        <v>9745</v>
      </c>
      <c r="R26" s="76">
        <v>0</v>
      </c>
      <c r="S26" s="76">
        <v>0</v>
      </c>
    </row>
    <row r="27" spans="1:19">
      <c r="A27" s="5" t="s">
        <v>349</v>
      </c>
      <c r="B27" s="16" t="s">
        <v>133</v>
      </c>
      <c r="C27" s="76">
        <v>12893</v>
      </c>
      <c r="D27" s="76">
        <v>0</v>
      </c>
      <c r="E27" s="76">
        <v>0</v>
      </c>
      <c r="F27" s="76">
        <v>0</v>
      </c>
      <c r="G27" s="76">
        <v>0</v>
      </c>
      <c r="H27" s="76">
        <v>0</v>
      </c>
      <c r="I27" s="76">
        <v>0</v>
      </c>
      <c r="J27" s="76">
        <v>0</v>
      </c>
      <c r="K27" s="76">
        <v>0</v>
      </c>
      <c r="L27" s="76">
        <v>3545</v>
      </c>
      <c r="M27" s="76">
        <v>0</v>
      </c>
      <c r="N27" s="76">
        <v>0</v>
      </c>
      <c r="O27" s="76">
        <v>9348</v>
      </c>
      <c r="P27" s="76">
        <v>0</v>
      </c>
      <c r="Q27" s="76">
        <v>9348</v>
      </c>
      <c r="R27" s="76">
        <v>0</v>
      </c>
      <c r="S27" s="76">
        <v>0</v>
      </c>
    </row>
    <row r="28" spans="1:19">
      <c r="A28" s="5" t="s">
        <v>350</v>
      </c>
      <c r="B28" s="16" t="s">
        <v>134</v>
      </c>
      <c r="C28" s="76">
        <v>615</v>
      </c>
      <c r="D28" s="76">
        <v>0</v>
      </c>
      <c r="E28" s="76">
        <v>0</v>
      </c>
      <c r="F28" s="76">
        <v>0</v>
      </c>
      <c r="G28" s="76">
        <v>0</v>
      </c>
      <c r="H28" s="76">
        <v>0</v>
      </c>
      <c r="I28" s="76">
        <v>0</v>
      </c>
      <c r="J28" s="76">
        <v>0</v>
      </c>
      <c r="K28" s="76">
        <v>0</v>
      </c>
      <c r="L28" s="76">
        <v>615</v>
      </c>
      <c r="M28" s="76">
        <v>0</v>
      </c>
      <c r="N28" s="76">
        <v>0</v>
      </c>
      <c r="O28" s="76">
        <v>0</v>
      </c>
      <c r="P28" s="76">
        <v>0</v>
      </c>
      <c r="Q28" s="76">
        <v>0</v>
      </c>
      <c r="R28" s="76">
        <v>0</v>
      </c>
      <c r="S28" s="76">
        <v>0</v>
      </c>
    </row>
    <row r="29" spans="1:19">
      <c r="A29" s="5" t="s">
        <v>351</v>
      </c>
      <c r="B29" s="16" t="s">
        <v>135</v>
      </c>
      <c r="C29" s="76">
        <v>11524</v>
      </c>
      <c r="D29" s="76">
        <v>0</v>
      </c>
      <c r="E29" s="76">
        <v>0</v>
      </c>
      <c r="F29" s="76">
        <v>0</v>
      </c>
      <c r="G29" s="76">
        <v>0</v>
      </c>
      <c r="H29" s="76">
        <v>0</v>
      </c>
      <c r="I29" s="76">
        <v>0</v>
      </c>
      <c r="J29" s="76">
        <v>0</v>
      </c>
      <c r="K29" s="76">
        <v>0</v>
      </c>
      <c r="L29" s="76">
        <v>2287</v>
      </c>
      <c r="M29" s="76">
        <v>0</v>
      </c>
      <c r="N29" s="76">
        <v>0</v>
      </c>
      <c r="O29" s="76">
        <v>9237</v>
      </c>
      <c r="P29" s="76">
        <v>0</v>
      </c>
      <c r="Q29" s="76">
        <v>9237</v>
      </c>
      <c r="R29" s="76">
        <v>0</v>
      </c>
      <c r="S29" s="76">
        <v>0</v>
      </c>
    </row>
    <row r="30" spans="1:19">
      <c r="A30" s="5" t="s">
        <v>352</v>
      </c>
      <c r="B30" s="16" t="s">
        <v>136</v>
      </c>
      <c r="C30" s="76">
        <v>754</v>
      </c>
      <c r="D30" s="76">
        <v>0</v>
      </c>
      <c r="E30" s="76">
        <v>0</v>
      </c>
      <c r="F30" s="76">
        <v>0</v>
      </c>
      <c r="G30" s="76">
        <v>0</v>
      </c>
      <c r="H30" s="76">
        <v>0</v>
      </c>
      <c r="I30" s="76">
        <v>0</v>
      </c>
      <c r="J30" s="76">
        <v>0</v>
      </c>
      <c r="K30" s="76">
        <v>0</v>
      </c>
      <c r="L30" s="76">
        <v>643</v>
      </c>
      <c r="M30" s="76">
        <v>0</v>
      </c>
      <c r="N30" s="76">
        <v>0</v>
      </c>
      <c r="O30" s="76">
        <v>111</v>
      </c>
      <c r="P30" s="76">
        <v>0</v>
      </c>
      <c r="Q30" s="76">
        <v>111</v>
      </c>
      <c r="R30" s="76">
        <v>0</v>
      </c>
      <c r="S30" s="76">
        <v>0</v>
      </c>
    </row>
    <row r="31" spans="1:19">
      <c r="A31" s="5" t="s">
        <v>353</v>
      </c>
      <c r="B31" s="16" t="s">
        <v>137</v>
      </c>
      <c r="C31" s="76">
        <v>2696</v>
      </c>
      <c r="D31" s="76">
        <v>0</v>
      </c>
      <c r="E31" s="76">
        <v>0</v>
      </c>
      <c r="F31" s="76">
        <v>0</v>
      </c>
      <c r="G31" s="76">
        <v>0</v>
      </c>
      <c r="H31" s="76">
        <v>0</v>
      </c>
      <c r="I31" s="76">
        <v>0</v>
      </c>
      <c r="J31" s="76">
        <v>0</v>
      </c>
      <c r="K31" s="76">
        <v>0</v>
      </c>
      <c r="L31" s="76">
        <v>2299</v>
      </c>
      <c r="M31" s="76">
        <v>0</v>
      </c>
      <c r="N31" s="76">
        <v>0</v>
      </c>
      <c r="O31" s="76">
        <v>397</v>
      </c>
      <c r="P31" s="76">
        <v>0</v>
      </c>
      <c r="Q31" s="76">
        <v>397</v>
      </c>
      <c r="R31" s="76">
        <v>0</v>
      </c>
      <c r="S31" s="76">
        <v>0</v>
      </c>
    </row>
    <row r="32" spans="1:19">
      <c r="A32" s="5" t="s">
        <v>354</v>
      </c>
      <c r="B32" s="16" t="s">
        <v>138</v>
      </c>
      <c r="C32" s="76">
        <v>489</v>
      </c>
      <c r="D32" s="76">
        <v>62</v>
      </c>
      <c r="E32" s="76">
        <v>0</v>
      </c>
      <c r="F32" s="76">
        <v>427</v>
      </c>
      <c r="G32" s="76">
        <v>0</v>
      </c>
      <c r="H32" s="76">
        <v>427</v>
      </c>
      <c r="I32" s="76">
        <v>0</v>
      </c>
      <c r="J32" s="76">
        <v>0</v>
      </c>
      <c r="K32" s="76">
        <v>0</v>
      </c>
      <c r="L32" s="76">
        <v>0</v>
      </c>
      <c r="M32" s="76">
        <v>0</v>
      </c>
      <c r="N32" s="76">
        <v>0</v>
      </c>
      <c r="O32" s="76">
        <v>0</v>
      </c>
      <c r="P32" s="76">
        <v>0</v>
      </c>
      <c r="Q32" s="76">
        <v>0</v>
      </c>
      <c r="R32" s="76">
        <v>0</v>
      </c>
      <c r="S32" s="76">
        <v>0</v>
      </c>
    </row>
    <row r="33" spans="1:19">
      <c r="A33" s="5" t="s">
        <v>355</v>
      </c>
      <c r="B33" s="16" t="s">
        <v>139</v>
      </c>
      <c r="C33" s="76">
        <v>0</v>
      </c>
      <c r="D33" s="76">
        <v>0</v>
      </c>
      <c r="E33" s="76">
        <v>0</v>
      </c>
      <c r="F33" s="76">
        <v>0</v>
      </c>
      <c r="G33" s="76">
        <v>0</v>
      </c>
      <c r="H33" s="76">
        <v>0</v>
      </c>
      <c r="I33" s="76">
        <v>0</v>
      </c>
      <c r="J33" s="76">
        <v>0</v>
      </c>
      <c r="K33" s="76">
        <v>0</v>
      </c>
      <c r="L33" s="76">
        <v>0</v>
      </c>
      <c r="M33" s="76">
        <v>0</v>
      </c>
      <c r="N33" s="76">
        <v>0</v>
      </c>
      <c r="O33" s="76">
        <v>0</v>
      </c>
      <c r="P33" s="76">
        <v>0</v>
      </c>
      <c r="Q33" s="76">
        <v>0</v>
      </c>
      <c r="R33" s="76">
        <v>0</v>
      </c>
      <c r="S33" s="76">
        <v>0</v>
      </c>
    </row>
    <row r="34" spans="1:19">
      <c r="A34" s="5" t="s">
        <v>356</v>
      </c>
      <c r="B34" s="16" t="s">
        <v>140</v>
      </c>
      <c r="C34" s="76">
        <v>0</v>
      </c>
      <c r="D34" s="76">
        <v>0</v>
      </c>
      <c r="E34" s="76">
        <v>0</v>
      </c>
      <c r="F34" s="76">
        <v>0</v>
      </c>
      <c r="G34" s="76">
        <v>0</v>
      </c>
      <c r="H34" s="76">
        <v>0</v>
      </c>
      <c r="I34" s="76">
        <v>0</v>
      </c>
      <c r="J34" s="76">
        <v>0</v>
      </c>
      <c r="K34" s="76">
        <v>0</v>
      </c>
      <c r="L34" s="76">
        <v>0</v>
      </c>
      <c r="M34" s="76">
        <v>0</v>
      </c>
      <c r="N34" s="76">
        <v>0</v>
      </c>
      <c r="O34" s="76">
        <v>0</v>
      </c>
      <c r="P34" s="76">
        <v>0</v>
      </c>
      <c r="Q34" s="76">
        <v>0</v>
      </c>
      <c r="R34" s="76">
        <v>0</v>
      </c>
      <c r="S34" s="76">
        <v>0</v>
      </c>
    </row>
    <row r="35" spans="1:19">
      <c r="A35" s="5" t="s">
        <v>357</v>
      </c>
      <c r="B35" s="16" t="s">
        <v>141</v>
      </c>
      <c r="C35" s="76">
        <v>62</v>
      </c>
      <c r="D35" s="76">
        <v>62</v>
      </c>
      <c r="E35" s="76">
        <v>0</v>
      </c>
      <c r="F35" s="76">
        <v>0</v>
      </c>
      <c r="G35" s="76">
        <v>0</v>
      </c>
      <c r="H35" s="76">
        <v>0</v>
      </c>
      <c r="I35" s="76">
        <v>0</v>
      </c>
      <c r="J35" s="76">
        <v>0</v>
      </c>
      <c r="K35" s="76">
        <v>0</v>
      </c>
      <c r="L35" s="76">
        <v>0</v>
      </c>
      <c r="M35" s="76">
        <v>0</v>
      </c>
      <c r="N35" s="76">
        <v>0</v>
      </c>
      <c r="O35" s="76">
        <v>0</v>
      </c>
      <c r="P35" s="76">
        <v>0</v>
      </c>
      <c r="Q35" s="76">
        <v>0</v>
      </c>
      <c r="R35" s="76">
        <v>0</v>
      </c>
      <c r="S35" s="76">
        <v>0</v>
      </c>
    </row>
    <row r="36" spans="1:19">
      <c r="A36" s="5" t="s">
        <v>358</v>
      </c>
      <c r="B36" s="16" t="s">
        <v>142</v>
      </c>
      <c r="C36" s="76">
        <v>427</v>
      </c>
      <c r="D36" s="76">
        <v>0</v>
      </c>
      <c r="E36" s="76">
        <v>0</v>
      </c>
      <c r="F36" s="76">
        <v>427</v>
      </c>
      <c r="G36" s="76">
        <v>0</v>
      </c>
      <c r="H36" s="76">
        <v>427</v>
      </c>
      <c r="I36" s="76">
        <v>0</v>
      </c>
      <c r="J36" s="76">
        <v>0</v>
      </c>
      <c r="K36" s="76">
        <v>0</v>
      </c>
      <c r="L36" s="76">
        <v>0</v>
      </c>
      <c r="M36" s="76">
        <v>0</v>
      </c>
      <c r="N36" s="76">
        <v>0</v>
      </c>
      <c r="O36" s="76">
        <v>0</v>
      </c>
      <c r="P36" s="76">
        <v>0</v>
      </c>
      <c r="Q36" s="76">
        <v>0</v>
      </c>
      <c r="R36" s="76">
        <v>0</v>
      </c>
      <c r="S36" s="76">
        <v>0</v>
      </c>
    </row>
    <row r="37" spans="1:19">
      <c r="A37" s="5" t="s">
        <v>359</v>
      </c>
      <c r="B37" s="16" t="s">
        <v>143</v>
      </c>
      <c r="C37" s="76">
        <v>0</v>
      </c>
      <c r="D37" s="76">
        <v>0</v>
      </c>
      <c r="E37" s="76">
        <v>0</v>
      </c>
      <c r="F37" s="76">
        <v>0</v>
      </c>
      <c r="G37" s="76">
        <v>0</v>
      </c>
      <c r="H37" s="76">
        <v>0</v>
      </c>
      <c r="I37" s="76">
        <v>0</v>
      </c>
      <c r="J37" s="76">
        <v>0</v>
      </c>
      <c r="K37" s="76">
        <v>0</v>
      </c>
      <c r="L37" s="76">
        <v>0</v>
      </c>
      <c r="M37" s="76">
        <v>0</v>
      </c>
      <c r="N37" s="76">
        <v>0</v>
      </c>
      <c r="O37" s="76">
        <v>0</v>
      </c>
      <c r="P37" s="76">
        <v>0</v>
      </c>
      <c r="Q37" s="76">
        <v>0</v>
      </c>
      <c r="R37" s="76">
        <v>0</v>
      </c>
      <c r="S37" s="76">
        <v>0</v>
      </c>
    </row>
    <row r="38" spans="1:19">
      <c r="A38" s="5" t="s">
        <v>360</v>
      </c>
      <c r="B38" s="16" t="s">
        <v>144</v>
      </c>
      <c r="C38" s="76">
        <v>0</v>
      </c>
      <c r="D38" s="76">
        <v>0</v>
      </c>
      <c r="E38" s="76">
        <v>0</v>
      </c>
      <c r="F38" s="76">
        <v>0</v>
      </c>
      <c r="G38" s="76">
        <v>0</v>
      </c>
      <c r="H38" s="76">
        <v>0</v>
      </c>
      <c r="I38" s="76">
        <v>0</v>
      </c>
      <c r="J38" s="76">
        <v>0</v>
      </c>
      <c r="K38" s="76">
        <v>0</v>
      </c>
      <c r="L38" s="76">
        <v>0</v>
      </c>
      <c r="M38" s="76">
        <v>0</v>
      </c>
      <c r="N38" s="76">
        <v>0</v>
      </c>
      <c r="O38" s="76">
        <v>0</v>
      </c>
      <c r="P38" s="76">
        <v>0</v>
      </c>
      <c r="Q38" s="76">
        <v>0</v>
      </c>
      <c r="R38" s="76">
        <v>0</v>
      </c>
      <c r="S38" s="76">
        <v>0</v>
      </c>
    </row>
    <row r="39" spans="1:19">
      <c r="A39" s="5" t="s">
        <v>361</v>
      </c>
      <c r="B39" s="16" t="s">
        <v>145</v>
      </c>
      <c r="C39" s="76">
        <v>0</v>
      </c>
      <c r="D39" s="76">
        <v>0</v>
      </c>
      <c r="E39" s="76">
        <v>0</v>
      </c>
      <c r="F39" s="76">
        <v>0</v>
      </c>
      <c r="G39" s="76">
        <v>0</v>
      </c>
      <c r="H39" s="76">
        <v>0</v>
      </c>
      <c r="I39" s="76">
        <v>0</v>
      </c>
      <c r="J39" s="76">
        <v>0</v>
      </c>
      <c r="K39" s="76">
        <v>0</v>
      </c>
      <c r="L39" s="76">
        <v>0</v>
      </c>
      <c r="M39" s="76">
        <v>0</v>
      </c>
      <c r="N39" s="76">
        <v>0</v>
      </c>
      <c r="O39" s="76">
        <v>0</v>
      </c>
      <c r="P39" s="76">
        <v>0</v>
      </c>
      <c r="Q39" s="76">
        <v>0</v>
      </c>
      <c r="R39" s="76">
        <v>0</v>
      </c>
      <c r="S39" s="76">
        <v>0</v>
      </c>
    </row>
    <row r="40" spans="1:19">
      <c r="A40" s="5" t="s">
        <v>362</v>
      </c>
      <c r="B40" s="16" t="s">
        <v>146</v>
      </c>
      <c r="C40" s="76">
        <v>0</v>
      </c>
      <c r="D40" s="76">
        <v>0</v>
      </c>
      <c r="E40" s="76">
        <v>0</v>
      </c>
      <c r="F40" s="76">
        <v>0</v>
      </c>
      <c r="G40" s="76">
        <v>0</v>
      </c>
      <c r="H40" s="76">
        <v>0</v>
      </c>
      <c r="I40" s="76">
        <v>0</v>
      </c>
      <c r="J40" s="76">
        <v>0</v>
      </c>
      <c r="K40" s="76">
        <v>0</v>
      </c>
      <c r="L40" s="76">
        <v>0</v>
      </c>
      <c r="M40" s="76">
        <v>0</v>
      </c>
      <c r="N40" s="76">
        <v>0</v>
      </c>
      <c r="O40" s="76">
        <v>0</v>
      </c>
      <c r="P40" s="76">
        <v>0</v>
      </c>
      <c r="Q40" s="76">
        <v>0</v>
      </c>
      <c r="R40" s="76">
        <v>0</v>
      </c>
      <c r="S40" s="76">
        <v>0</v>
      </c>
    </row>
    <row r="41" spans="1:19">
      <c r="A41" s="5" t="s">
        <v>363</v>
      </c>
      <c r="B41" s="16" t="s">
        <v>97</v>
      </c>
      <c r="C41" s="76">
        <v>0</v>
      </c>
      <c r="D41" s="76">
        <v>0</v>
      </c>
      <c r="E41" s="76">
        <v>0</v>
      </c>
      <c r="F41" s="76">
        <v>0</v>
      </c>
      <c r="G41" s="76">
        <v>0</v>
      </c>
      <c r="H41" s="76">
        <v>0</v>
      </c>
      <c r="I41" s="76">
        <v>0</v>
      </c>
      <c r="J41" s="76">
        <v>0</v>
      </c>
      <c r="K41" s="76">
        <v>0</v>
      </c>
      <c r="L41" s="76">
        <v>0</v>
      </c>
      <c r="M41" s="76">
        <v>0</v>
      </c>
      <c r="N41" s="76">
        <v>0</v>
      </c>
      <c r="O41" s="76">
        <v>0</v>
      </c>
      <c r="P41" s="76">
        <v>0</v>
      </c>
      <c r="Q41" s="76">
        <v>0</v>
      </c>
      <c r="R41" s="76">
        <v>0</v>
      </c>
      <c r="S41" s="76">
        <v>0</v>
      </c>
    </row>
    <row r="42" spans="1:19">
      <c r="A42" t="s">
        <v>152</v>
      </c>
      <c r="C42" s="76"/>
    </row>
    <row r="43" spans="1:19" ht="32.549999999999997" customHeight="1">
      <c r="A43" s="1" t="s">
        <v>38</v>
      </c>
    </row>
    <row r="44" spans="1:19">
      <c r="A44" t="s">
        <v>51</v>
      </c>
      <c r="B44" s="18" t="s">
        <v>49</v>
      </c>
    </row>
    <row r="45" spans="1:19">
      <c r="A45" t="s">
        <v>52</v>
      </c>
      <c r="B45" s="18" t="s">
        <v>148</v>
      </c>
    </row>
    <row r="46" spans="1:19">
      <c r="A46" t="s">
        <v>53</v>
      </c>
      <c r="B46" s="18" t="s">
        <v>149</v>
      </c>
    </row>
    <row r="47" spans="1:19">
      <c r="A47" t="s">
        <v>54</v>
      </c>
      <c r="B47" s="18" t="s">
        <v>150</v>
      </c>
    </row>
    <row r="48" spans="1:19">
      <c r="A48" t="s">
        <v>329</v>
      </c>
      <c r="B48" s="19" t="s">
        <v>41</v>
      </c>
    </row>
    <row r="49" spans="1:2">
      <c r="A49" t="s">
        <v>55</v>
      </c>
      <c r="B49" s="18" t="s">
        <v>42</v>
      </c>
    </row>
    <row r="50" spans="1:2">
      <c r="A50" t="s">
        <v>56</v>
      </c>
      <c r="B50" s="18" t="s">
        <v>43</v>
      </c>
    </row>
    <row r="51" spans="1:2">
      <c r="A51" t="s">
        <v>332</v>
      </c>
      <c r="B51" s="19" t="s">
        <v>44</v>
      </c>
    </row>
    <row r="52" spans="1:2">
      <c r="A52" t="s">
        <v>57</v>
      </c>
      <c r="B52" s="18" t="s">
        <v>151</v>
      </c>
    </row>
    <row r="53" spans="1:2">
      <c r="A53" t="s">
        <v>58</v>
      </c>
      <c r="B53" s="18" t="s">
        <v>50</v>
      </c>
    </row>
  </sheetData>
  <hyperlinks>
    <hyperlink ref="B51" r:id="rId1" xr:uid="{92827345-9757-4D3C-B685-E64195F42DE9}"/>
    <hyperlink ref="B48" r:id="rId2" display="https://www.ons.gov.uk/peoplepopulationandcommunity/healthandsocialcare/healthcaresystem/methodologies/introductiontohealthaccounts" xr:uid="{1AF8CA54-C0B9-4E4E-9B3A-F2B608D34251}"/>
  </hyperlinks>
  <pageMargins left="0.7" right="0.7" top="0.75" bottom="0.75" header="0.3" footer="0.3"/>
  <pageSetup paperSize="9" orientation="portrait" r:id="rId3"/>
  <tableParts count="1">
    <tablePart r:id="rId4"/>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390BE-4104-45C9-A115-48FBFFDB45B0}">
  <sheetPr>
    <tabColor theme="8" tint="-0.249977111117893"/>
  </sheetPr>
  <dimension ref="A1:L34"/>
  <sheetViews>
    <sheetView showGridLines="0" zoomScale="70" zoomScaleNormal="70" workbookViewId="0">
      <selection activeCell="A2" sqref="A2"/>
    </sheetView>
  </sheetViews>
  <sheetFormatPr defaultRowHeight="15"/>
  <cols>
    <col min="1" max="1" width="14.38671875" customWidth="1"/>
    <col min="2" max="2" width="21.6640625" customWidth="1"/>
    <col min="4" max="4" width="35.44140625" bestFit="1" customWidth="1"/>
  </cols>
  <sheetData>
    <row r="1" spans="1:12" ht="20.25">
      <c r="A1" s="12" t="s">
        <v>385</v>
      </c>
      <c r="B1" s="12"/>
    </row>
    <row r="2" spans="1:12">
      <c r="A2" s="11" t="s">
        <v>159</v>
      </c>
      <c r="B2" s="11"/>
    </row>
    <row r="3" spans="1:12" ht="31.5" customHeight="1">
      <c r="A3" s="11" t="s">
        <v>64</v>
      </c>
      <c r="B3" s="11"/>
    </row>
    <row r="4" spans="1:12" ht="24" customHeight="1">
      <c r="A4" s="6" t="s">
        <v>254</v>
      </c>
      <c r="B4" s="6" t="s">
        <v>240</v>
      </c>
      <c r="C4" s="6" t="s">
        <v>255</v>
      </c>
      <c r="D4" s="44" t="s">
        <v>241</v>
      </c>
      <c r="E4" s="6" t="s">
        <v>30</v>
      </c>
      <c r="F4" s="6" t="s">
        <v>31</v>
      </c>
      <c r="G4" s="6" t="s">
        <v>32</v>
      </c>
      <c r="H4" s="6" t="s">
        <v>33</v>
      </c>
      <c r="I4" s="6" t="s">
        <v>34</v>
      </c>
      <c r="J4" s="6" t="s">
        <v>35</v>
      </c>
      <c r="K4" s="6" t="s">
        <v>36</v>
      </c>
      <c r="L4" s="6" t="s">
        <v>37</v>
      </c>
    </row>
    <row r="5" spans="1:12">
      <c r="A5" s="11" t="s">
        <v>248</v>
      </c>
      <c r="B5" s="11" t="s">
        <v>249</v>
      </c>
      <c r="C5" s="1" t="s">
        <v>0</v>
      </c>
      <c r="D5" s="45" t="s">
        <v>242</v>
      </c>
      <c r="E5" s="79">
        <v>39068</v>
      </c>
      <c r="F5" s="79">
        <v>40253</v>
      </c>
      <c r="G5" s="79">
        <v>41739</v>
      </c>
      <c r="H5" s="79">
        <v>43865</v>
      </c>
      <c r="I5" s="79">
        <v>45816</v>
      </c>
      <c r="J5" s="79">
        <v>47585</v>
      </c>
      <c r="K5" s="79">
        <v>49893</v>
      </c>
      <c r="L5" s="79">
        <v>54106</v>
      </c>
    </row>
    <row r="6" spans="1:12">
      <c r="A6" s="11" t="s">
        <v>248</v>
      </c>
      <c r="B6" s="11" t="s">
        <v>249</v>
      </c>
      <c r="C6" s="11" t="s">
        <v>1</v>
      </c>
      <c r="D6" s="46" t="s">
        <v>243</v>
      </c>
      <c r="E6" s="79">
        <v>26461</v>
      </c>
      <c r="F6" s="79">
        <v>26872</v>
      </c>
      <c r="G6" s="79">
        <v>27803</v>
      </c>
      <c r="H6" s="79">
        <v>29005</v>
      </c>
      <c r="I6" s="79">
        <v>29898</v>
      </c>
      <c r="J6" s="79">
        <v>31035</v>
      </c>
      <c r="K6" s="79">
        <v>32201</v>
      </c>
      <c r="L6" s="79">
        <v>36392</v>
      </c>
    </row>
    <row r="7" spans="1:12">
      <c r="A7" s="11" t="s">
        <v>248</v>
      </c>
      <c r="B7" s="11" t="s">
        <v>249</v>
      </c>
      <c r="C7" s="11" t="s">
        <v>2</v>
      </c>
      <c r="D7" s="46" t="s">
        <v>244</v>
      </c>
      <c r="E7" s="79">
        <v>0</v>
      </c>
      <c r="F7" s="79">
        <v>0</v>
      </c>
      <c r="G7" s="79">
        <v>0</v>
      </c>
      <c r="H7" s="79">
        <v>0</v>
      </c>
      <c r="I7" s="79">
        <v>0</v>
      </c>
      <c r="J7" s="79">
        <v>0</v>
      </c>
      <c r="K7" s="79">
        <v>0</v>
      </c>
      <c r="L7" s="79">
        <v>0</v>
      </c>
    </row>
    <row r="8" spans="1:12">
      <c r="A8" s="11" t="s">
        <v>248</v>
      </c>
      <c r="B8" s="11" t="s">
        <v>249</v>
      </c>
      <c r="C8" s="11" t="s">
        <v>3</v>
      </c>
      <c r="D8" s="46" t="s">
        <v>245</v>
      </c>
      <c r="E8" s="79">
        <v>2854</v>
      </c>
      <c r="F8" s="79">
        <v>2889</v>
      </c>
      <c r="G8" s="79">
        <v>3265</v>
      </c>
      <c r="H8" s="79">
        <v>3642</v>
      </c>
      <c r="I8" s="79">
        <v>3950</v>
      </c>
      <c r="J8" s="79">
        <v>4030</v>
      </c>
      <c r="K8" s="79">
        <v>4362</v>
      </c>
      <c r="L8" s="79">
        <v>4682</v>
      </c>
    </row>
    <row r="9" spans="1:12">
      <c r="A9" s="11" t="s">
        <v>248</v>
      </c>
      <c r="B9" s="11" t="s">
        <v>249</v>
      </c>
      <c r="C9" s="11" t="s">
        <v>4</v>
      </c>
      <c r="D9" s="46" t="s">
        <v>246</v>
      </c>
      <c r="E9" s="79">
        <v>0</v>
      </c>
      <c r="F9" s="79">
        <v>0</v>
      </c>
      <c r="G9" s="79">
        <v>0</v>
      </c>
      <c r="H9" s="79">
        <v>0</v>
      </c>
      <c r="I9" s="79">
        <v>0</v>
      </c>
      <c r="J9" s="79">
        <v>0</v>
      </c>
      <c r="K9" s="79">
        <v>0</v>
      </c>
      <c r="L9" s="79">
        <v>0</v>
      </c>
    </row>
    <row r="10" spans="1:12">
      <c r="A10" s="11" t="s">
        <v>248</v>
      </c>
      <c r="B10" s="11" t="s">
        <v>249</v>
      </c>
      <c r="C10" s="11" t="s">
        <v>5</v>
      </c>
      <c r="D10" s="46" t="s">
        <v>197</v>
      </c>
      <c r="E10" s="79">
        <v>9753</v>
      </c>
      <c r="F10" s="79">
        <v>10491</v>
      </c>
      <c r="G10" s="79">
        <v>10671</v>
      </c>
      <c r="H10" s="79">
        <v>11218</v>
      </c>
      <c r="I10" s="79">
        <v>11968</v>
      </c>
      <c r="J10" s="79">
        <v>12520</v>
      </c>
      <c r="K10" s="79">
        <v>13330</v>
      </c>
      <c r="L10" s="79">
        <v>13032</v>
      </c>
    </row>
    <row r="11" spans="1:12">
      <c r="A11" s="11" t="s">
        <v>342</v>
      </c>
      <c r="B11" s="11" t="s">
        <v>126</v>
      </c>
      <c r="C11" s="1" t="s">
        <v>0</v>
      </c>
      <c r="D11" s="45" t="s">
        <v>242</v>
      </c>
      <c r="E11" s="79">
        <v>31388</v>
      </c>
      <c r="F11" s="79">
        <v>32391</v>
      </c>
      <c r="G11" s="79">
        <v>33675</v>
      </c>
      <c r="H11" s="79">
        <v>35341</v>
      </c>
      <c r="I11" s="79">
        <v>36782</v>
      </c>
      <c r="J11" s="79">
        <v>38168</v>
      </c>
      <c r="K11" s="79">
        <v>39939</v>
      </c>
      <c r="L11" s="79">
        <v>43621</v>
      </c>
    </row>
    <row r="12" spans="1:12">
      <c r="A12" s="11" t="s">
        <v>342</v>
      </c>
      <c r="B12" s="11" t="s">
        <v>126</v>
      </c>
      <c r="C12" s="11" t="s">
        <v>1</v>
      </c>
      <c r="D12" s="46" t="s">
        <v>243</v>
      </c>
      <c r="E12" s="79">
        <v>21448</v>
      </c>
      <c r="F12" s="79">
        <v>21910</v>
      </c>
      <c r="G12" s="79">
        <v>22864</v>
      </c>
      <c r="H12" s="79">
        <v>23834</v>
      </c>
      <c r="I12" s="79">
        <v>24470</v>
      </c>
      <c r="J12" s="79">
        <v>25218</v>
      </c>
      <c r="K12" s="79">
        <v>25984</v>
      </c>
      <c r="L12" s="79">
        <v>29737</v>
      </c>
    </row>
    <row r="13" spans="1:12">
      <c r="A13" s="11" t="s">
        <v>342</v>
      </c>
      <c r="B13" s="11" t="s">
        <v>126</v>
      </c>
      <c r="C13" s="11" t="s">
        <v>2</v>
      </c>
      <c r="D13" s="46" t="s">
        <v>244</v>
      </c>
      <c r="E13" s="79">
        <v>0</v>
      </c>
      <c r="F13" s="79">
        <v>0</v>
      </c>
      <c r="G13" s="79">
        <v>0</v>
      </c>
      <c r="H13" s="79">
        <v>0</v>
      </c>
      <c r="I13" s="79">
        <v>0</v>
      </c>
      <c r="J13" s="79">
        <v>0</v>
      </c>
      <c r="K13" s="79">
        <v>0</v>
      </c>
      <c r="L13" s="79">
        <v>0</v>
      </c>
    </row>
    <row r="14" spans="1:12">
      <c r="A14" s="11" t="s">
        <v>342</v>
      </c>
      <c r="B14" s="11" t="s">
        <v>126</v>
      </c>
      <c r="C14" s="11" t="s">
        <v>3</v>
      </c>
      <c r="D14" s="46" t="s">
        <v>245</v>
      </c>
      <c r="E14" s="79">
        <v>1150</v>
      </c>
      <c r="F14" s="79">
        <v>1178</v>
      </c>
      <c r="G14" s="79">
        <v>1324</v>
      </c>
      <c r="H14" s="79">
        <v>1478</v>
      </c>
      <c r="I14" s="79">
        <v>1662</v>
      </c>
      <c r="J14" s="79">
        <v>1784</v>
      </c>
      <c r="K14" s="79">
        <v>2022</v>
      </c>
      <c r="L14" s="79">
        <v>2260</v>
      </c>
    </row>
    <row r="15" spans="1:12">
      <c r="A15" s="11" t="s">
        <v>342</v>
      </c>
      <c r="B15" s="11" t="s">
        <v>126</v>
      </c>
      <c r="C15" s="11" t="s">
        <v>4</v>
      </c>
      <c r="D15" s="46" t="s">
        <v>246</v>
      </c>
      <c r="E15" s="79">
        <v>0</v>
      </c>
      <c r="F15" s="79">
        <v>0</v>
      </c>
      <c r="G15" s="79">
        <v>0</v>
      </c>
      <c r="H15" s="79">
        <v>0</v>
      </c>
      <c r="I15" s="79">
        <v>0</v>
      </c>
      <c r="J15" s="79">
        <v>0</v>
      </c>
      <c r="K15" s="79">
        <v>0</v>
      </c>
      <c r="L15" s="79">
        <v>0</v>
      </c>
    </row>
    <row r="16" spans="1:12">
      <c r="A16" s="11" t="s">
        <v>342</v>
      </c>
      <c r="B16" s="11" t="s">
        <v>126</v>
      </c>
      <c r="C16" s="11" t="s">
        <v>5</v>
      </c>
      <c r="D16" s="46" t="s">
        <v>197</v>
      </c>
      <c r="E16" s="79">
        <v>8789</v>
      </c>
      <c r="F16" s="79">
        <v>9302</v>
      </c>
      <c r="G16" s="79">
        <v>9486</v>
      </c>
      <c r="H16" s="79">
        <v>10029</v>
      </c>
      <c r="I16" s="79">
        <v>10650</v>
      </c>
      <c r="J16" s="79">
        <v>11166</v>
      </c>
      <c r="K16" s="79">
        <v>11933</v>
      </c>
      <c r="L16" s="79">
        <v>11624</v>
      </c>
    </row>
    <row r="17" spans="1:12">
      <c r="A17" s="11" t="s">
        <v>247</v>
      </c>
      <c r="B17" s="11" t="s">
        <v>250</v>
      </c>
      <c r="C17" s="1" t="s">
        <v>0</v>
      </c>
      <c r="D17" s="45" t="s">
        <v>242</v>
      </c>
      <c r="E17" s="79">
        <v>7680</v>
      </c>
      <c r="F17" s="79">
        <v>7862</v>
      </c>
      <c r="G17" s="79">
        <v>8064</v>
      </c>
      <c r="H17" s="79">
        <v>8524</v>
      </c>
      <c r="I17" s="79">
        <v>9034</v>
      </c>
      <c r="J17" s="79">
        <v>9417</v>
      </c>
      <c r="K17" s="79">
        <v>9954</v>
      </c>
      <c r="L17" s="79">
        <v>10485</v>
      </c>
    </row>
    <row r="18" spans="1:12">
      <c r="A18" s="11" t="s">
        <v>247</v>
      </c>
      <c r="B18" s="11" t="s">
        <v>250</v>
      </c>
      <c r="C18" s="11" t="s">
        <v>1</v>
      </c>
      <c r="D18" s="46" t="s">
        <v>243</v>
      </c>
      <c r="E18" s="79">
        <v>5013</v>
      </c>
      <c r="F18" s="79">
        <v>4962</v>
      </c>
      <c r="G18" s="79">
        <v>4939</v>
      </c>
      <c r="H18" s="79">
        <v>5171</v>
      </c>
      <c r="I18" s="79">
        <v>5429</v>
      </c>
      <c r="J18" s="79">
        <v>5817</v>
      </c>
      <c r="K18" s="79">
        <v>6217</v>
      </c>
      <c r="L18" s="79">
        <v>6655</v>
      </c>
    </row>
    <row r="19" spans="1:12">
      <c r="A19" s="11" t="s">
        <v>247</v>
      </c>
      <c r="B19" s="11" t="s">
        <v>250</v>
      </c>
      <c r="C19" s="11" t="s">
        <v>2</v>
      </c>
      <c r="D19" s="46" t="s">
        <v>244</v>
      </c>
      <c r="E19" s="79">
        <v>0</v>
      </c>
      <c r="F19" s="79">
        <v>0</v>
      </c>
      <c r="G19" s="79">
        <v>0</v>
      </c>
      <c r="H19" s="79">
        <v>0</v>
      </c>
      <c r="I19" s="79">
        <v>0</v>
      </c>
      <c r="J19" s="79">
        <v>0</v>
      </c>
      <c r="K19" s="79">
        <v>0</v>
      </c>
      <c r="L19" s="79">
        <v>0</v>
      </c>
    </row>
    <row r="20" spans="1:12">
      <c r="A20" s="11" t="s">
        <v>247</v>
      </c>
      <c r="B20" s="11" t="s">
        <v>250</v>
      </c>
      <c r="C20" s="11" t="s">
        <v>3</v>
      </c>
      <c r="D20" s="46" t="s">
        <v>245</v>
      </c>
      <c r="E20" s="79">
        <v>1703</v>
      </c>
      <c r="F20" s="79">
        <v>1711</v>
      </c>
      <c r="G20" s="79">
        <v>1940</v>
      </c>
      <c r="H20" s="79">
        <v>2164</v>
      </c>
      <c r="I20" s="79">
        <v>2288</v>
      </c>
      <c r="J20" s="79">
        <v>2246</v>
      </c>
      <c r="K20" s="79">
        <v>2340</v>
      </c>
      <c r="L20" s="79">
        <v>2422</v>
      </c>
    </row>
    <row r="21" spans="1:12">
      <c r="A21" s="11" t="s">
        <v>247</v>
      </c>
      <c r="B21" s="11" t="s">
        <v>250</v>
      </c>
      <c r="C21" s="11" t="s">
        <v>4</v>
      </c>
      <c r="D21" s="46" t="s">
        <v>246</v>
      </c>
      <c r="E21" s="79">
        <v>0</v>
      </c>
      <c r="F21" s="79">
        <v>0</v>
      </c>
      <c r="G21" s="79">
        <v>0</v>
      </c>
      <c r="H21" s="79">
        <v>0</v>
      </c>
      <c r="I21" s="79">
        <v>0</v>
      </c>
      <c r="J21" s="79">
        <v>0</v>
      </c>
      <c r="K21" s="79">
        <v>0</v>
      </c>
      <c r="L21" s="79">
        <v>0</v>
      </c>
    </row>
    <row r="22" spans="1:12">
      <c r="A22" s="11" t="s">
        <v>247</v>
      </c>
      <c r="B22" s="11" t="s">
        <v>250</v>
      </c>
      <c r="C22" s="11" t="s">
        <v>5</v>
      </c>
      <c r="D22" s="46" t="s">
        <v>197</v>
      </c>
      <c r="E22" s="79">
        <v>964</v>
      </c>
      <c r="F22" s="79">
        <v>1189</v>
      </c>
      <c r="G22" s="79">
        <v>1185</v>
      </c>
      <c r="H22" s="79">
        <v>1189</v>
      </c>
      <c r="I22" s="79">
        <v>1317</v>
      </c>
      <c r="J22" s="79">
        <v>1354</v>
      </c>
      <c r="K22" s="79">
        <v>1397</v>
      </c>
      <c r="L22" s="79">
        <v>1409</v>
      </c>
    </row>
    <row r="23" spans="1:12">
      <c r="A23" t="s">
        <v>153</v>
      </c>
    </row>
    <row r="24" spans="1:12" ht="32.549999999999997" customHeight="1">
      <c r="A24" s="1" t="s">
        <v>38</v>
      </c>
    </row>
    <row r="25" spans="1:12" ht="20" customHeight="1">
      <c r="A25" t="s">
        <v>51</v>
      </c>
      <c r="B25" s="11" t="s">
        <v>251</v>
      </c>
    </row>
    <row r="26" spans="1:12">
      <c r="A26" t="s">
        <v>52</v>
      </c>
      <c r="B26" s="18" t="s">
        <v>233</v>
      </c>
      <c r="C26" s="17"/>
      <c r="D26" s="17"/>
      <c r="E26" s="17"/>
      <c r="F26" s="17"/>
      <c r="G26" s="17"/>
      <c r="H26" s="17"/>
      <c r="I26" s="17"/>
      <c r="J26" s="17"/>
      <c r="K26" s="17"/>
      <c r="L26" s="17"/>
    </row>
    <row r="27" spans="1:12">
      <c r="A27" t="s">
        <v>53</v>
      </c>
      <c r="B27" s="18" t="s">
        <v>234</v>
      </c>
      <c r="C27" s="17"/>
      <c r="D27" s="17"/>
      <c r="E27" s="17"/>
      <c r="F27" s="17"/>
      <c r="G27" s="17"/>
      <c r="H27" s="17"/>
      <c r="I27" s="17"/>
      <c r="J27" s="17"/>
      <c r="K27" s="17"/>
      <c r="L27" s="17"/>
    </row>
    <row r="28" spans="1:12">
      <c r="A28" t="s">
        <v>328</v>
      </c>
      <c r="B28" s="29" t="s">
        <v>41</v>
      </c>
      <c r="C28" s="27"/>
      <c r="D28" s="27"/>
      <c r="E28" s="27"/>
      <c r="F28" s="27"/>
      <c r="G28" s="27"/>
      <c r="H28" s="27"/>
      <c r="I28" s="27"/>
      <c r="J28" s="27"/>
      <c r="K28" s="27"/>
      <c r="L28" s="27"/>
    </row>
    <row r="29" spans="1:12">
      <c r="A29" t="s">
        <v>54</v>
      </c>
      <c r="B29" s="49" t="s">
        <v>42</v>
      </c>
      <c r="C29" s="47"/>
      <c r="D29" s="47"/>
      <c r="E29" s="47"/>
      <c r="F29" s="47"/>
      <c r="G29" s="47"/>
      <c r="H29" s="47"/>
      <c r="I29" s="47"/>
      <c r="J29" s="47"/>
      <c r="K29" s="47"/>
      <c r="L29" s="47"/>
    </row>
    <row r="30" spans="1:12">
      <c r="A30" t="s">
        <v>55</v>
      </c>
      <c r="B30" s="11" t="s">
        <v>43</v>
      </c>
    </row>
    <row r="31" spans="1:12">
      <c r="A31" t="s">
        <v>331</v>
      </c>
      <c r="B31" s="29" t="s">
        <v>44</v>
      </c>
      <c r="C31" s="27"/>
      <c r="D31" s="27"/>
      <c r="E31" s="27"/>
      <c r="F31" s="27"/>
      <c r="G31" s="27"/>
      <c r="H31" s="27"/>
      <c r="I31" s="27"/>
      <c r="J31" s="27"/>
      <c r="K31" s="27"/>
      <c r="L31" s="27"/>
    </row>
    <row r="32" spans="1:12" ht="15.5" customHeight="1">
      <c r="A32" t="s">
        <v>56</v>
      </c>
      <c r="B32" s="18" t="s">
        <v>252</v>
      </c>
      <c r="C32" s="48"/>
      <c r="D32" s="48"/>
      <c r="E32" s="48"/>
      <c r="F32" s="48"/>
      <c r="G32" s="48"/>
      <c r="H32" s="48"/>
      <c r="I32" s="48"/>
      <c r="J32" s="48"/>
      <c r="K32" s="48"/>
      <c r="L32" s="48"/>
    </row>
    <row r="33" spans="1:12" ht="15.5" customHeight="1">
      <c r="A33" t="s">
        <v>57</v>
      </c>
      <c r="B33" s="18" t="s">
        <v>253</v>
      </c>
      <c r="C33" s="48"/>
      <c r="D33" s="48"/>
      <c r="E33" s="48"/>
      <c r="F33" s="48"/>
      <c r="G33" s="48"/>
      <c r="H33" s="48"/>
      <c r="I33" s="48"/>
      <c r="J33" s="48"/>
      <c r="K33" s="48"/>
      <c r="L33" s="48"/>
    </row>
    <row r="34" spans="1:12">
      <c r="A34" t="s">
        <v>58</v>
      </c>
      <c r="B34" s="18" t="s">
        <v>50</v>
      </c>
      <c r="C34" s="17"/>
      <c r="D34" s="17"/>
      <c r="E34" s="17"/>
      <c r="F34" s="17"/>
      <c r="G34" s="17"/>
      <c r="H34" s="17"/>
      <c r="I34" s="17"/>
      <c r="J34" s="17"/>
      <c r="K34" s="17"/>
      <c r="L34" s="17"/>
    </row>
  </sheetData>
  <phoneticPr fontId="9" type="noConversion"/>
  <hyperlinks>
    <hyperlink ref="B28:L28" r:id="rId1" display="An introduction to health accounts" xr:uid="{77885F4A-1A2F-4740-AEA7-DAA71CA87437}"/>
    <hyperlink ref="B31" r:id="rId2" xr:uid="{30926BC9-0B79-49ED-A52B-B3136404AD31}"/>
  </hyperlinks>
  <pageMargins left="0.7" right="0.7" top="0.75" bottom="0.75" header="0.3" footer="0.3"/>
  <pageSetup paperSize="9" orientation="portrait"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4B235-F72A-4CC3-8EDD-CB1B90A5CDE3}">
  <sheetPr>
    <tabColor rgb="FF0070C0"/>
  </sheetPr>
  <dimension ref="A1:L34"/>
  <sheetViews>
    <sheetView showGridLines="0" zoomScale="70" zoomScaleNormal="70" workbookViewId="0"/>
  </sheetViews>
  <sheetFormatPr defaultRowHeight="15"/>
  <cols>
    <col min="1" max="1" width="14.38671875" customWidth="1"/>
    <col min="2" max="2" width="21.6640625" customWidth="1"/>
    <col min="4" max="4" width="35.44140625" bestFit="1" customWidth="1"/>
  </cols>
  <sheetData>
    <row r="1" spans="1:12" ht="20.25">
      <c r="A1" s="12" t="s">
        <v>386</v>
      </c>
      <c r="B1" s="12"/>
    </row>
    <row r="2" spans="1:12">
      <c r="A2" s="11" t="s">
        <v>159</v>
      </c>
      <c r="B2" s="11"/>
    </row>
    <row r="3" spans="1:12" ht="31.5" customHeight="1">
      <c r="A3" s="11" t="s">
        <v>64</v>
      </c>
      <c r="B3" s="11"/>
    </row>
    <row r="4" spans="1:12" ht="24" customHeight="1">
      <c r="A4" s="6" t="s">
        <v>254</v>
      </c>
      <c r="B4" s="6" t="s">
        <v>240</v>
      </c>
      <c r="C4" s="6" t="s">
        <v>255</v>
      </c>
      <c r="D4" s="44" t="s">
        <v>241</v>
      </c>
      <c r="E4" s="6" t="s">
        <v>30</v>
      </c>
      <c r="F4" s="6" t="s">
        <v>31</v>
      </c>
      <c r="G4" s="6" t="s">
        <v>32</v>
      </c>
      <c r="H4" s="6" t="s">
        <v>33</v>
      </c>
      <c r="I4" s="6" t="s">
        <v>34</v>
      </c>
      <c r="J4" s="6" t="s">
        <v>35</v>
      </c>
      <c r="K4" s="6" t="s">
        <v>36</v>
      </c>
      <c r="L4" s="6" t="s">
        <v>37</v>
      </c>
    </row>
    <row r="5" spans="1:12">
      <c r="A5" s="11" t="s">
        <v>248</v>
      </c>
      <c r="B5" s="11" t="s">
        <v>249</v>
      </c>
      <c r="C5" s="1" t="s">
        <v>0</v>
      </c>
      <c r="D5" s="45" t="s">
        <v>242</v>
      </c>
      <c r="E5" s="79">
        <v>45248</v>
      </c>
      <c r="F5" s="79">
        <v>45887</v>
      </c>
      <c r="G5" s="79">
        <v>47344</v>
      </c>
      <c r="H5" s="79">
        <v>48828</v>
      </c>
      <c r="I5" s="79">
        <v>50099</v>
      </c>
      <c r="J5" s="79">
        <v>51012</v>
      </c>
      <c r="K5" s="79">
        <v>52437</v>
      </c>
      <c r="L5" s="79">
        <v>54106</v>
      </c>
    </row>
    <row r="6" spans="1:12">
      <c r="A6" s="11" t="s">
        <v>248</v>
      </c>
      <c r="B6" s="11" t="s">
        <v>249</v>
      </c>
      <c r="C6" s="11" t="s">
        <v>1</v>
      </c>
      <c r="D6" s="46" t="s">
        <v>243</v>
      </c>
      <c r="E6" s="79">
        <v>30647</v>
      </c>
      <c r="F6" s="79">
        <v>30634</v>
      </c>
      <c r="G6" s="79">
        <v>31537</v>
      </c>
      <c r="H6" s="79">
        <v>32287</v>
      </c>
      <c r="I6" s="79">
        <v>32693</v>
      </c>
      <c r="J6" s="79">
        <v>33270</v>
      </c>
      <c r="K6" s="79">
        <v>33843</v>
      </c>
      <c r="L6" s="79">
        <v>36392</v>
      </c>
    </row>
    <row r="7" spans="1:12">
      <c r="A7" s="11" t="s">
        <v>248</v>
      </c>
      <c r="B7" s="11" t="s">
        <v>249</v>
      </c>
      <c r="C7" s="11" t="s">
        <v>2</v>
      </c>
      <c r="D7" s="46" t="s">
        <v>244</v>
      </c>
      <c r="E7" s="79">
        <v>0</v>
      </c>
      <c r="F7" s="79">
        <v>0</v>
      </c>
      <c r="G7" s="79">
        <v>0</v>
      </c>
      <c r="H7" s="79">
        <v>0</v>
      </c>
      <c r="I7" s="79">
        <v>0</v>
      </c>
      <c r="J7" s="79">
        <v>0</v>
      </c>
      <c r="K7" s="79">
        <v>0</v>
      </c>
      <c r="L7" s="79">
        <v>0</v>
      </c>
    </row>
    <row r="8" spans="1:12">
      <c r="A8" s="11" t="s">
        <v>248</v>
      </c>
      <c r="B8" s="11" t="s">
        <v>249</v>
      </c>
      <c r="C8" s="11" t="s">
        <v>3</v>
      </c>
      <c r="D8" s="46" t="s">
        <v>245</v>
      </c>
      <c r="E8" s="79">
        <v>3305</v>
      </c>
      <c r="F8" s="79">
        <v>3294</v>
      </c>
      <c r="G8" s="79">
        <v>3703</v>
      </c>
      <c r="H8" s="79">
        <v>4054</v>
      </c>
      <c r="I8" s="79">
        <v>4320</v>
      </c>
      <c r="J8" s="79">
        <v>4320</v>
      </c>
      <c r="K8" s="79">
        <v>4584</v>
      </c>
      <c r="L8" s="79">
        <v>4682</v>
      </c>
    </row>
    <row r="9" spans="1:12">
      <c r="A9" s="11" t="s">
        <v>248</v>
      </c>
      <c r="B9" s="11" t="s">
        <v>249</v>
      </c>
      <c r="C9" s="11" t="s">
        <v>4</v>
      </c>
      <c r="D9" s="46" t="s">
        <v>246</v>
      </c>
      <c r="E9" s="79">
        <v>0</v>
      </c>
      <c r="F9" s="79">
        <v>0</v>
      </c>
      <c r="G9" s="79">
        <v>0</v>
      </c>
      <c r="H9" s="79">
        <v>0</v>
      </c>
      <c r="I9" s="79">
        <v>0</v>
      </c>
      <c r="J9" s="79">
        <v>0</v>
      </c>
      <c r="K9" s="79">
        <v>0</v>
      </c>
      <c r="L9" s="79">
        <v>0</v>
      </c>
    </row>
    <row r="10" spans="1:12">
      <c r="A10" s="11" t="s">
        <v>248</v>
      </c>
      <c r="B10" s="11" t="s">
        <v>249</v>
      </c>
      <c r="C10" s="11" t="s">
        <v>5</v>
      </c>
      <c r="D10" s="46" t="s">
        <v>197</v>
      </c>
      <c r="E10" s="79">
        <v>11296</v>
      </c>
      <c r="F10" s="79">
        <v>11960</v>
      </c>
      <c r="G10" s="79">
        <v>12104</v>
      </c>
      <c r="H10" s="79">
        <v>12488</v>
      </c>
      <c r="I10" s="79">
        <v>13086</v>
      </c>
      <c r="J10" s="79">
        <v>13422</v>
      </c>
      <c r="K10" s="79">
        <v>14009</v>
      </c>
      <c r="L10" s="79">
        <v>13032</v>
      </c>
    </row>
    <row r="11" spans="1:12">
      <c r="A11" s="11" t="s">
        <v>342</v>
      </c>
      <c r="B11" s="11" t="s">
        <v>126</v>
      </c>
      <c r="C11" s="1" t="s">
        <v>0</v>
      </c>
      <c r="D11" s="45" t="s">
        <v>242</v>
      </c>
      <c r="E11" s="79">
        <v>36353</v>
      </c>
      <c r="F11" s="79">
        <v>36924</v>
      </c>
      <c r="G11" s="79">
        <v>38197</v>
      </c>
      <c r="H11" s="79">
        <v>39339</v>
      </c>
      <c r="I11" s="79">
        <v>40220</v>
      </c>
      <c r="J11" s="79">
        <v>40917</v>
      </c>
      <c r="K11" s="79">
        <v>41976</v>
      </c>
      <c r="L11" s="79">
        <v>43621</v>
      </c>
    </row>
    <row r="12" spans="1:12">
      <c r="A12" s="11" t="s">
        <v>342</v>
      </c>
      <c r="B12" s="11" t="s">
        <v>126</v>
      </c>
      <c r="C12" s="11" t="s">
        <v>1</v>
      </c>
      <c r="D12" s="46" t="s">
        <v>243</v>
      </c>
      <c r="E12" s="79">
        <v>24841</v>
      </c>
      <c r="F12" s="79">
        <v>24977</v>
      </c>
      <c r="G12" s="79">
        <v>25935</v>
      </c>
      <c r="H12" s="79">
        <v>26531</v>
      </c>
      <c r="I12" s="79">
        <v>26757</v>
      </c>
      <c r="J12" s="79">
        <v>27034</v>
      </c>
      <c r="K12" s="79">
        <v>27309</v>
      </c>
      <c r="L12" s="79">
        <v>29737</v>
      </c>
    </row>
    <row r="13" spans="1:12">
      <c r="A13" s="11" t="s">
        <v>342</v>
      </c>
      <c r="B13" s="11" t="s">
        <v>126</v>
      </c>
      <c r="C13" s="11" t="s">
        <v>2</v>
      </c>
      <c r="D13" s="46" t="s">
        <v>244</v>
      </c>
      <c r="E13" s="79">
        <v>0</v>
      </c>
      <c r="F13" s="79">
        <v>0</v>
      </c>
      <c r="G13" s="79">
        <v>0</v>
      </c>
      <c r="H13" s="79">
        <v>0</v>
      </c>
      <c r="I13" s="79">
        <v>0</v>
      </c>
      <c r="J13" s="79">
        <v>0</v>
      </c>
      <c r="K13" s="79">
        <v>0</v>
      </c>
      <c r="L13" s="79">
        <v>0</v>
      </c>
    </row>
    <row r="14" spans="1:12">
      <c r="A14" s="11" t="s">
        <v>342</v>
      </c>
      <c r="B14" s="11" t="s">
        <v>126</v>
      </c>
      <c r="C14" s="11" t="s">
        <v>3</v>
      </c>
      <c r="D14" s="46" t="s">
        <v>245</v>
      </c>
      <c r="E14" s="79">
        <v>1332</v>
      </c>
      <c r="F14" s="79">
        <v>1343</v>
      </c>
      <c r="G14" s="79">
        <v>1502</v>
      </c>
      <c r="H14" s="79">
        <v>1645</v>
      </c>
      <c r="I14" s="79">
        <v>1818</v>
      </c>
      <c r="J14" s="79">
        <v>1912</v>
      </c>
      <c r="K14" s="79">
        <v>2125</v>
      </c>
      <c r="L14" s="79">
        <v>2260</v>
      </c>
    </row>
    <row r="15" spans="1:12">
      <c r="A15" s="11" t="s">
        <v>342</v>
      </c>
      <c r="B15" s="11" t="s">
        <v>126</v>
      </c>
      <c r="C15" s="11" t="s">
        <v>4</v>
      </c>
      <c r="D15" s="46" t="s">
        <v>246</v>
      </c>
      <c r="E15" s="79">
        <v>0</v>
      </c>
      <c r="F15" s="79">
        <v>0</v>
      </c>
      <c r="G15" s="79">
        <v>0</v>
      </c>
      <c r="H15" s="79">
        <v>0</v>
      </c>
      <c r="I15" s="79">
        <v>0</v>
      </c>
      <c r="J15" s="79">
        <v>0</v>
      </c>
      <c r="K15" s="79">
        <v>0</v>
      </c>
      <c r="L15" s="79">
        <v>0</v>
      </c>
    </row>
    <row r="16" spans="1:12">
      <c r="A16" s="11" t="s">
        <v>342</v>
      </c>
      <c r="B16" s="11" t="s">
        <v>126</v>
      </c>
      <c r="C16" s="11" t="s">
        <v>5</v>
      </c>
      <c r="D16" s="46" t="s">
        <v>197</v>
      </c>
      <c r="E16" s="79">
        <v>10179</v>
      </c>
      <c r="F16" s="79">
        <v>10604</v>
      </c>
      <c r="G16" s="79">
        <v>10760</v>
      </c>
      <c r="H16" s="79">
        <v>11164</v>
      </c>
      <c r="I16" s="79">
        <v>11646</v>
      </c>
      <c r="J16" s="79">
        <v>11970</v>
      </c>
      <c r="K16" s="79">
        <v>12542</v>
      </c>
      <c r="L16" s="79">
        <v>11624</v>
      </c>
    </row>
    <row r="17" spans="1:12">
      <c r="A17" s="11" t="s">
        <v>247</v>
      </c>
      <c r="B17" s="11" t="s">
        <v>250</v>
      </c>
      <c r="C17" s="1" t="s">
        <v>0</v>
      </c>
      <c r="D17" s="45" t="s">
        <v>242</v>
      </c>
      <c r="E17" s="79">
        <v>8895</v>
      </c>
      <c r="F17" s="79">
        <v>8963</v>
      </c>
      <c r="G17" s="79">
        <v>9147</v>
      </c>
      <c r="H17" s="79">
        <v>9489</v>
      </c>
      <c r="I17" s="79">
        <v>9879</v>
      </c>
      <c r="J17" s="79">
        <v>10096</v>
      </c>
      <c r="K17" s="79">
        <v>10461</v>
      </c>
      <c r="L17" s="79">
        <v>10485</v>
      </c>
    </row>
    <row r="18" spans="1:12">
      <c r="A18" s="11" t="s">
        <v>247</v>
      </c>
      <c r="B18" s="11" t="s">
        <v>250</v>
      </c>
      <c r="C18" s="11" t="s">
        <v>1</v>
      </c>
      <c r="D18" s="46" t="s">
        <v>243</v>
      </c>
      <c r="E18" s="79">
        <v>5806</v>
      </c>
      <c r="F18" s="79">
        <v>5656</v>
      </c>
      <c r="G18" s="79">
        <v>5602</v>
      </c>
      <c r="H18" s="79">
        <v>5756</v>
      </c>
      <c r="I18" s="79">
        <v>5936</v>
      </c>
      <c r="J18" s="79">
        <v>6236</v>
      </c>
      <c r="K18" s="79">
        <v>6534</v>
      </c>
      <c r="L18" s="79">
        <v>6655</v>
      </c>
    </row>
    <row r="19" spans="1:12">
      <c r="A19" s="11" t="s">
        <v>247</v>
      </c>
      <c r="B19" s="11" t="s">
        <v>250</v>
      </c>
      <c r="C19" s="11" t="s">
        <v>2</v>
      </c>
      <c r="D19" s="46" t="s">
        <v>244</v>
      </c>
      <c r="E19" s="79">
        <v>0</v>
      </c>
      <c r="F19" s="79">
        <v>0</v>
      </c>
      <c r="G19" s="79">
        <v>0</v>
      </c>
      <c r="H19" s="79">
        <v>0</v>
      </c>
      <c r="I19" s="79">
        <v>0</v>
      </c>
      <c r="J19" s="79">
        <v>0</v>
      </c>
      <c r="K19" s="79">
        <v>0</v>
      </c>
      <c r="L19" s="79">
        <v>0</v>
      </c>
    </row>
    <row r="20" spans="1:12">
      <c r="A20" s="11" t="s">
        <v>247</v>
      </c>
      <c r="B20" s="11" t="s">
        <v>250</v>
      </c>
      <c r="C20" s="11" t="s">
        <v>3</v>
      </c>
      <c r="D20" s="46" t="s">
        <v>245</v>
      </c>
      <c r="E20" s="79">
        <v>1973</v>
      </c>
      <c r="F20" s="79">
        <v>1951</v>
      </c>
      <c r="G20" s="79">
        <v>2201</v>
      </c>
      <c r="H20" s="79">
        <v>2409</v>
      </c>
      <c r="I20" s="79">
        <v>2502</v>
      </c>
      <c r="J20" s="79">
        <v>2408</v>
      </c>
      <c r="K20" s="79">
        <v>2460</v>
      </c>
      <c r="L20" s="79">
        <v>2422</v>
      </c>
    </row>
    <row r="21" spans="1:12">
      <c r="A21" s="11" t="s">
        <v>247</v>
      </c>
      <c r="B21" s="11" t="s">
        <v>250</v>
      </c>
      <c r="C21" s="11" t="s">
        <v>4</v>
      </c>
      <c r="D21" s="46" t="s">
        <v>246</v>
      </c>
      <c r="E21" s="79">
        <v>0</v>
      </c>
      <c r="F21" s="79">
        <v>0</v>
      </c>
      <c r="G21" s="79">
        <v>0</v>
      </c>
      <c r="H21" s="79">
        <v>0</v>
      </c>
      <c r="I21" s="79">
        <v>0</v>
      </c>
      <c r="J21" s="79">
        <v>0</v>
      </c>
      <c r="K21" s="79">
        <v>0</v>
      </c>
      <c r="L21" s="79">
        <v>0</v>
      </c>
    </row>
    <row r="22" spans="1:12">
      <c r="A22" s="11" t="s">
        <v>247</v>
      </c>
      <c r="B22" s="11" t="s">
        <v>250</v>
      </c>
      <c r="C22" s="11" t="s">
        <v>5</v>
      </c>
      <c r="D22" s="46" t="s">
        <v>197</v>
      </c>
      <c r="E22" s="79">
        <v>1116</v>
      </c>
      <c r="F22" s="79">
        <v>1356</v>
      </c>
      <c r="G22" s="79">
        <v>1344</v>
      </c>
      <c r="H22" s="79">
        <v>1324</v>
      </c>
      <c r="I22" s="79">
        <v>1441</v>
      </c>
      <c r="J22" s="79">
        <v>1452</v>
      </c>
      <c r="K22" s="79">
        <v>1468</v>
      </c>
      <c r="L22" s="79">
        <v>1409</v>
      </c>
    </row>
    <row r="23" spans="1:12">
      <c r="A23" t="s">
        <v>153</v>
      </c>
    </row>
    <row r="24" spans="1:12" ht="32.549999999999997" customHeight="1">
      <c r="A24" s="1" t="s">
        <v>38</v>
      </c>
    </row>
    <row r="25" spans="1:12" ht="20" customHeight="1">
      <c r="A25" t="s">
        <v>51</v>
      </c>
      <c r="B25" s="11" t="s">
        <v>251</v>
      </c>
    </row>
    <row r="26" spans="1:12">
      <c r="A26" t="s">
        <v>52</v>
      </c>
      <c r="B26" s="18" t="s">
        <v>233</v>
      </c>
      <c r="C26" s="17"/>
      <c r="D26" s="17"/>
      <c r="E26" s="17"/>
      <c r="F26" s="17"/>
      <c r="G26" s="17"/>
      <c r="H26" s="17"/>
      <c r="I26" s="17"/>
      <c r="J26" s="17"/>
      <c r="K26" s="17"/>
      <c r="L26" s="17"/>
    </row>
    <row r="27" spans="1:12">
      <c r="A27" t="s">
        <v>53</v>
      </c>
      <c r="B27" s="18" t="s">
        <v>234</v>
      </c>
      <c r="C27" s="17"/>
      <c r="D27" s="17"/>
      <c r="E27" s="17"/>
      <c r="F27" s="17"/>
      <c r="G27" s="17"/>
      <c r="H27" s="17"/>
      <c r="I27" s="17"/>
      <c r="J27" s="17"/>
      <c r="K27" s="17"/>
      <c r="L27" s="17"/>
    </row>
    <row r="28" spans="1:12">
      <c r="A28" t="s">
        <v>328</v>
      </c>
      <c r="B28" s="29" t="s">
        <v>41</v>
      </c>
      <c r="C28" s="27"/>
      <c r="D28" s="27"/>
      <c r="E28" s="27"/>
      <c r="F28" s="27"/>
      <c r="G28" s="27"/>
      <c r="H28" s="27"/>
      <c r="I28" s="27"/>
      <c r="J28" s="27"/>
      <c r="K28" s="27"/>
      <c r="L28" s="27"/>
    </row>
    <row r="29" spans="1:12">
      <c r="A29" t="s">
        <v>54</v>
      </c>
      <c r="B29" s="18" t="s">
        <v>323</v>
      </c>
      <c r="C29" s="47"/>
      <c r="D29" s="47"/>
      <c r="E29" s="47"/>
      <c r="F29" s="47"/>
      <c r="G29" s="47"/>
      <c r="H29" s="47"/>
      <c r="I29" s="47"/>
      <c r="J29" s="47"/>
      <c r="K29" s="47"/>
      <c r="L29" s="47"/>
    </row>
    <row r="30" spans="1:12">
      <c r="A30" t="s">
        <v>55</v>
      </c>
      <c r="B30" s="11" t="s">
        <v>43</v>
      </c>
    </row>
    <row r="31" spans="1:12">
      <c r="A31" t="s">
        <v>331</v>
      </c>
      <c r="B31" s="29" t="s">
        <v>44</v>
      </c>
      <c r="C31" s="27"/>
      <c r="D31" s="27"/>
      <c r="E31" s="27"/>
      <c r="F31" s="27"/>
      <c r="G31" s="27"/>
      <c r="H31" s="27"/>
      <c r="I31" s="27"/>
      <c r="J31" s="27"/>
      <c r="K31" s="27"/>
      <c r="L31" s="27"/>
    </row>
    <row r="32" spans="1:12" ht="15.5" customHeight="1">
      <c r="A32" t="s">
        <v>56</v>
      </c>
      <c r="B32" s="18" t="s">
        <v>252</v>
      </c>
      <c r="C32" s="48"/>
      <c r="D32" s="48"/>
      <c r="E32" s="48"/>
      <c r="F32" s="48"/>
      <c r="G32" s="48"/>
      <c r="H32" s="48"/>
      <c r="I32" s="48"/>
      <c r="J32" s="48"/>
      <c r="K32" s="48"/>
      <c r="L32" s="48"/>
    </row>
    <row r="33" spans="1:12" ht="15.5" customHeight="1">
      <c r="A33" t="s">
        <v>57</v>
      </c>
      <c r="B33" s="18" t="s">
        <v>253</v>
      </c>
      <c r="C33" s="48"/>
      <c r="D33" s="48"/>
      <c r="E33" s="48"/>
      <c r="F33" s="48"/>
      <c r="G33" s="48"/>
      <c r="H33" s="48"/>
      <c r="I33" s="48"/>
      <c r="J33" s="48"/>
      <c r="K33" s="48"/>
      <c r="L33" s="48"/>
    </row>
    <row r="34" spans="1:12">
      <c r="A34" t="s">
        <v>58</v>
      </c>
      <c r="B34" s="18" t="s">
        <v>50</v>
      </c>
      <c r="C34" s="17"/>
      <c r="D34" s="17"/>
      <c r="E34" s="17"/>
      <c r="F34" s="17"/>
      <c r="G34" s="17"/>
      <c r="H34" s="17"/>
      <c r="I34" s="17"/>
      <c r="J34" s="17"/>
      <c r="K34" s="17"/>
      <c r="L34" s="17"/>
    </row>
  </sheetData>
  <hyperlinks>
    <hyperlink ref="B28:L28" r:id="rId1" display="An introduction to health accounts" xr:uid="{C0679847-365B-4733-B28D-5D3A69F970DC}"/>
    <hyperlink ref="B31" r:id="rId2" xr:uid="{7504EAAB-494C-4997-A76C-973898C479EB}"/>
  </hyperlinks>
  <pageMargins left="0.7" right="0.7" top="0.75" bottom="0.75" header="0.3" footer="0.3"/>
  <pageSetup paperSize="9" orientation="portrait" r:id="rId3"/>
  <tableParts count="1">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0763-8FE6-48A1-B939-9F978E4E45F3}">
  <sheetPr>
    <tabColor theme="7" tint="0.59999389629810485"/>
  </sheetPr>
  <dimension ref="A1:Z28"/>
  <sheetViews>
    <sheetView showGridLines="0" zoomScale="70" zoomScaleNormal="70" workbookViewId="0"/>
  </sheetViews>
  <sheetFormatPr defaultRowHeight="15"/>
  <cols>
    <col min="1" max="1" width="13.83203125" customWidth="1"/>
    <col min="2" max="2" width="59" customWidth="1"/>
  </cols>
  <sheetData>
    <row r="1" spans="1:26" ht="17.649999999999999">
      <c r="A1" s="12" t="s">
        <v>223</v>
      </c>
    </row>
    <row r="2" spans="1:26">
      <c r="A2" s="11" t="s">
        <v>159</v>
      </c>
    </row>
    <row r="3" spans="1:26" ht="31.5" customHeight="1">
      <c r="A3" s="11" t="s">
        <v>64</v>
      </c>
      <c r="C3" s="11"/>
    </row>
    <row r="4" spans="1:26" s="9" customFormat="1" ht="46.5" customHeight="1" thickBot="1">
      <c r="A4" s="31" t="s">
        <v>12</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2" t="s">
        <v>163</v>
      </c>
      <c r="B5" s="40" t="s">
        <v>6</v>
      </c>
      <c r="C5" s="73">
        <v>65210</v>
      </c>
      <c r="D5" s="73">
        <v>69821</v>
      </c>
      <c r="E5" s="73">
        <v>74865</v>
      </c>
      <c r="F5" s="73">
        <v>78995</v>
      </c>
      <c r="G5" s="73">
        <v>84419</v>
      </c>
      <c r="H5" s="73">
        <v>91675</v>
      </c>
      <c r="I5" s="73">
        <v>101730</v>
      </c>
      <c r="J5" s="73">
        <v>110152</v>
      </c>
      <c r="K5" s="73">
        <v>117408</v>
      </c>
      <c r="L5" s="73">
        <v>127400</v>
      </c>
      <c r="M5" s="73">
        <v>133559</v>
      </c>
      <c r="N5" s="73">
        <v>144249</v>
      </c>
      <c r="O5" s="73">
        <v>156239</v>
      </c>
      <c r="P5" s="73">
        <v>160440</v>
      </c>
      <c r="Q5" s="73">
        <v>165547</v>
      </c>
      <c r="R5" s="73">
        <v>170971</v>
      </c>
      <c r="S5" s="73">
        <v>176474</v>
      </c>
      <c r="T5" s="73">
        <v>184367</v>
      </c>
      <c r="U5" s="73">
        <v>188773</v>
      </c>
      <c r="V5" s="73">
        <v>195519</v>
      </c>
      <c r="W5" s="73">
        <v>201074</v>
      </c>
      <c r="X5" s="73">
        <v>210005</v>
      </c>
      <c r="Y5" s="73">
        <v>222705</v>
      </c>
      <c r="Z5" s="73">
        <v>257564</v>
      </c>
    </row>
    <row r="6" spans="1:26">
      <c r="A6" s="10" t="s">
        <v>164</v>
      </c>
      <c r="B6" s="16" t="s">
        <v>176</v>
      </c>
      <c r="C6" s="73">
        <v>49160</v>
      </c>
      <c r="D6" s="73">
        <v>52815</v>
      </c>
      <c r="E6" s="73">
        <v>57220</v>
      </c>
      <c r="F6" s="73">
        <v>60493</v>
      </c>
      <c r="G6" s="73">
        <v>65894</v>
      </c>
      <c r="H6" s="73">
        <v>73054</v>
      </c>
      <c r="I6" s="73">
        <v>80052</v>
      </c>
      <c r="J6" s="73">
        <v>88616</v>
      </c>
      <c r="K6" s="73">
        <v>95585</v>
      </c>
      <c r="L6" s="73">
        <v>103882</v>
      </c>
      <c r="M6" s="73">
        <v>109190</v>
      </c>
      <c r="N6" s="73">
        <v>117398</v>
      </c>
      <c r="O6" s="73">
        <v>126596</v>
      </c>
      <c r="P6" s="73">
        <v>129755</v>
      </c>
      <c r="Q6" s="73">
        <v>133894</v>
      </c>
      <c r="R6" s="73">
        <v>137839</v>
      </c>
      <c r="S6" s="73">
        <v>141896</v>
      </c>
      <c r="T6" s="73">
        <v>148323</v>
      </c>
      <c r="U6" s="73">
        <v>151745</v>
      </c>
      <c r="V6" s="73">
        <v>158113</v>
      </c>
      <c r="W6" s="73">
        <v>161598</v>
      </c>
      <c r="X6" s="73">
        <v>168204</v>
      </c>
      <c r="Y6" s="73">
        <v>178669</v>
      </c>
      <c r="Z6" s="73">
        <v>215568</v>
      </c>
    </row>
    <row r="7" spans="1:26">
      <c r="A7" s="10" t="s">
        <v>165</v>
      </c>
      <c r="B7" s="16" t="s">
        <v>177</v>
      </c>
      <c r="C7" s="73">
        <v>48846</v>
      </c>
      <c r="D7" s="73">
        <v>52469</v>
      </c>
      <c r="E7" s="73">
        <v>56840</v>
      </c>
      <c r="F7" s="73">
        <v>60065</v>
      </c>
      <c r="G7" s="73">
        <v>65430</v>
      </c>
      <c r="H7" s="73">
        <v>72541</v>
      </c>
      <c r="I7" s="73">
        <v>79464</v>
      </c>
      <c r="J7" s="73">
        <v>88025</v>
      </c>
      <c r="K7" s="73">
        <v>94939</v>
      </c>
      <c r="L7" s="73">
        <v>103168</v>
      </c>
      <c r="M7" s="73">
        <v>108468</v>
      </c>
      <c r="N7" s="73">
        <v>116618</v>
      </c>
      <c r="O7" s="73">
        <v>125806</v>
      </c>
      <c r="P7" s="73">
        <v>128889</v>
      </c>
      <c r="Q7" s="73">
        <v>132920</v>
      </c>
      <c r="R7" s="73">
        <v>136772</v>
      </c>
      <c r="S7" s="73">
        <v>140695</v>
      </c>
      <c r="T7" s="73">
        <v>147094</v>
      </c>
      <c r="U7" s="73">
        <v>150363</v>
      </c>
      <c r="V7" s="73">
        <v>156571</v>
      </c>
      <c r="W7" s="73">
        <v>159863</v>
      </c>
      <c r="X7" s="73">
        <v>166343</v>
      </c>
      <c r="Y7" s="73">
        <v>176560</v>
      </c>
      <c r="Z7" s="73">
        <v>213210</v>
      </c>
    </row>
    <row r="8" spans="1:26">
      <c r="A8" s="10" t="s">
        <v>166</v>
      </c>
      <c r="B8" s="16" t="s">
        <v>178</v>
      </c>
      <c r="C8" s="73">
        <v>314</v>
      </c>
      <c r="D8" s="73">
        <v>345</v>
      </c>
      <c r="E8" s="73">
        <v>381</v>
      </c>
      <c r="F8" s="73">
        <v>428</v>
      </c>
      <c r="G8" s="73">
        <v>463</v>
      </c>
      <c r="H8" s="73">
        <v>513</v>
      </c>
      <c r="I8" s="73">
        <v>588</v>
      </c>
      <c r="J8" s="73">
        <v>590</v>
      </c>
      <c r="K8" s="73">
        <v>646</v>
      </c>
      <c r="L8" s="73">
        <v>714</v>
      </c>
      <c r="M8" s="73">
        <v>722</v>
      </c>
      <c r="N8" s="73">
        <v>779</v>
      </c>
      <c r="O8" s="73">
        <v>791</v>
      </c>
      <c r="P8" s="73">
        <v>865</v>
      </c>
      <c r="Q8" s="73">
        <v>974</v>
      </c>
      <c r="R8" s="73">
        <v>1067</v>
      </c>
      <c r="S8" s="73">
        <v>1201</v>
      </c>
      <c r="T8" s="73">
        <v>1229</v>
      </c>
      <c r="U8" s="73">
        <v>1382</v>
      </c>
      <c r="V8" s="73">
        <v>1542</v>
      </c>
      <c r="W8" s="73">
        <v>1735</v>
      </c>
      <c r="X8" s="73">
        <v>1862</v>
      </c>
      <c r="Y8" s="73">
        <v>2110</v>
      </c>
      <c r="Z8" s="73">
        <v>2359</v>
      </c>
    </row>
    <row r="9" spans="1:26">
      <c r="A9" s="10" t="s">
        <v>167</v>
      </c>
      <c r="B9" s="16" t="s">
        <v>179</v>
      </c>
      <c r="C9" s="73">
        <v>2476</v>
      </c>
      <c r="D9" s="73">
        <v>2594</v>
      </c>
      <c r="E9" s="73">
        <v>2776</v>
      </c>
      <c r="F9" s="73">
        <v>3364</v>
      </c>
      <c r="G9" s="73">
        <v>3796</v>
      </c>
      <c r="H9" s="73">
        <v>3983</v>
      </c>
      <c r="I9" s="73">
        <v>4067</v>
      </c>
      <c r="J9" s="73">
        <v>4213</v>
      </c>
      <c r="K9" s="73">
        <v>4666</v>
      </c>
      <c r="L9" s="73">
        <v>4958</v>
      </c>
      <c r="M9" s="73">
        <v>5224</v>
      </c>
      <c r="N9" s="73">
        <v>5758</v>
      </c>
      <c r="O9" s="73">
        <v>5613</v>
      </c>
      <c r="P9" s="73">
        <v>5620</v>
      </c>
      <c r="Q9" s="73">
        <v>5804</v>
      </c>
      <c r="R9" s="73">
        <v>5951</v>
      </c>
      <c r="S9" s="73">
        <v>6090</v>
      </c>
      <c r="T9" s="73">
        <v>6289</v>
      </c>
      <c r="U9" s="73">
        <v>6182</v>
      </c>
      <c r="V9" s="73">
        <v>5480</v>
      </c>
      <c r="W9" s="73">
        <v>5988</v>
      </c>
      <c r="X9" s="73">
        <v>6313</v>
      </c>
      <c r="Y9" s="73">
        <v>6354</v>
      </c>
      <c r="Z9" s="73">
        <v>5756</v>
      </c>
    </row>
    <row r="10" spans="1:26">
      <c r="A10" s="10" t="s">
        <v>168</v>
      </c>
      <c r="B10" s="16" t="s">
        <v>180</v>
      </c>
      <c r="C10" s="73">
        <v>13570</v>
      </c>
      <c r="D10" s="73">
        <v>14407</v>
      </c>
      <c r="E10" s="73">
        <v>14862</v>
      </c>
      <c r="F10" s="73">
        <v>15131</v>
      </c>
      <c r="G10" s="73">
        <v>14723</v>
      </c>
      <c r="H10" s="73">
        <v>14631</v>
      </c>
      <c r="I10" s="73">
        <v>17602</v>
      </c>
      <c r="J10" s="73">
        <v>17316</v>
      </c>
      <c r="K10" s="73">
        <v>17147</v>
      </c>
      <c r="L10" s="73">
        <v>18550</v>
      </c>
      <c r="M10" s="73">
        <v>19135</v>
      </c>
      <c r="N10" s="73">
        <v>21082</v>
      </c>
      <c r="O10" s="73">
        <v>24018</v>
      </c>
      <c r="P10" s="73">
        <v>25053</v>
      </c>
      <c r="Q10" s="73">
        <v>25835</v>
      </c>
      <c r="R10" s="73">
        <v>27166</v>
      </c>
      <c r="S10" s="73">
        <v>28472</v>
      </c>
      <c r="T10" s="73">
        <v>29738</v>
      </c>
      <c r="U10" s="73">
        <v>30826</v>
      </c>
      <c r="V10" s="73">
        <v>31904</v>
      </c>
      <c r="W10" s="73">
        <v>33463</v>
      </c>
      <c r="X10" s="73">
        <v>35461</v>
      </c>
      <c r="Y10" s="73">
        <v>37651</v>
      </c>
      <c r="Z10" s="73">
        <v>36205</v>
      </c>
    </row>
    <row r="11" spans="1:26">
      <c r="A11" s="10" t="s">
        <v>169</v>
      </c>
      <c r="B11" s="16" t="s">
        <v>173</v>
      </c>
      <c r="C11" s="73">
        <v>12694</v>
      </c>
      <c r="D11" s="73">
        <v>13458</v>
      </c>
      <c r="E11" s="73">
        <v>13988</v>
      </c>
      <c r="F11" s="73">
        <v>14180</v>
      </c>
      <c r="G11" s="73">
        <v>13762</v>
      </c>
      <c r="H11" s="73">
        <v>13702</v>
      </c>
      <c r="I11" s="73">
        <v>16712</v>
      </c>
      <c r="J11" s="73">
        <v>16502</v>
      </c>
      <c r="K11" s="73">
        <v>16282</v>
      </c>
      <c r="L11" s="73">
        <v>17677</v>
      </c>
      <c r="M11" s="73">
        <v>18179</v>
      </c>
      <c r="N11" s="73">
        <v>20118</v>
      </c>
      <c r="O11" s="73">
        <v>23098</v>
      </c>
      <c r="P11" s="73">
        <v>24025</v>
      </c>
      <c r="Q11" s="73">
        <v>24744</v>
      </c>
      <c r="R11" s="73">
        <v>26044</v>
      </c>
      <c r="S11" s="73">
        <v>27329</v>
      </c>
      <c r="T11" s="73">
        <v>28609</v>
      </c>
      <c r="U11" s="73">
        <v>29695</v>
      </c>
      <c r="V11" s="73">
        <v>30798</v>
      </c>
      <c r="W11" s="73">
        <v>32350</v>
      </c>
      <c r="X11" s="73">
        <v>34341</v>
      </c>
      <c r="Y11" s="73">
        <v>36493</v>
      </c>
      <c r="Z11" s="73">
        <v>35041</v>
      </c>
    </row>
    <row r="12" spans="1:26">
      <c r="A12" s="10" t="s">
        <v>170</v>
      </c>
      <c r="B12" s="16" t="s">
        <v>174</v>
      </c>
      <c r="C12" s="73">
        <v>843</v>
      </c>
      <c r="D12" s="73">
        <v>913</v>
      </c>
      <c r="E12" s="73">
        <v>835</v>
      </c>
      <c r="F12" s="73">
        <v>906</v>
      </c>
      <c r="G12" s="73">
        <v>913</v>
      </c>
      <c r="H12" s="73">
        <v>876</v>
      </c>
      <c r="I12" s="73">
        <v>830</v>
      </c>
      <c r="J12" s="73">
        <v>753</v>
      </c>
      <c r="K12" s="73">
        <v>799</v>
      </c>
      <c r="L12" s="73">
        <v>799</v>
      </c>
      <c r="M12" s="73">
        <v>881</v>
      </c>
      <c r="N12" s="73">
        <v>883</v>
      </c>
      <c r="O12" s="73">
        <v>838</v>
      </c>
      <c r="P12" s="73">
        <v>939</v>
      </c>
      <c r="Q12" s="73">
        <v>990</v>
      </c>
      <c r="R12" s="73">
        <v>1012</v>
      </c>
      <c r="S12" s="73">
        <v>1018</v>
      </c>
      <c r="T12" s="73">
        <v>1002</v>
      </c>
      <c r="U12" s="73">
        <v>987</v>
      </c>
      <c r="V12" s="73">
        <v>946</v>
      </c>
      <c r="W12" s="73">
        <v>933</v>
      </c>
      <c r="X12" s="73">
        <v>927</v>
      </c>
      <c r="Y12" s="73">
        <v>939</v>
      </c>
      <c r="Z12" s="73">
        <v>921</v>
      </c>
    </row>
    <row r="13" spans="1:26">
      <c r="A13" s="10" t="s">
        <v>171</v>
      </c>
      <c r="B13" s="16" t="s">
        <v>175</v>
      </c>
      <c r="C13" s="73">
        <v>33</v>
      </c>
      <c r="D13" s="73">
        <v>36</v>
      </c>
      <c r="E13" s="73">
        <v>39</v>
      </c>
      <c r="F13" s="73">
        <v>44</v>
      </c>
      <c r="G13" s="73">
        <v>48</v>
      </c>
      <c r="H13" s="73">
        <v>53</v>
      </c>
      <c r="I13" s="73">
        <v>61</v>
      </c>
      <c r="J13" s="73">
        <v>61</v>
      </c>
      <c r="K13" s="73">
        <v>67</v>
      </c>
      <c r="L13" s="73">
        <v>74</v>
      </c>
      <c r="M13" s="73">
        <v>75</v>
      </c>
      <c r="N13" s="73">
        <v>81</v>
      </c>
      <c r="O13" s="73">
        <v>82</v>
      </c>
      <c r="P13" s="73">
        <v>90</v>
      </c>
      <c r="Q13" s="73">
        <v>101</v>
      </c>
      <c r="R13" s="73">
        <v>111</v>
      </c>
      <c r="S13" s="73">
        <v>124</v>
      </c>
      <c r="T13" s="73">
        <v>127</v>
      </c>
      <c r="U13" s="73">
        <v>143</v>
      </c>
      <c r="V13" s="73">
        <v>160</v>
      </c>
      <c r="W13" s="73">
        <v>180</v>
      </c>
      <c r="X13" s="73">
        <v>193</v>
      </c>
      <c r="Y13" s="73">
        <v>219</v>
      </c>
      <c r="Z13" s="73">
        <v>244</v>
      </c>
    </row>
    <row r="14" spans="1:26">
      <c r="A14" s="10" t="s">
        <v>172</v>
      </c>
      <c r="B14" s="16" t="s">
        <v>181</v>
      </c>
      <c r="C14" s="73">
        <v>5</v>
      </c>
      <c r="D14" s="73">
        <v>5</v>
      </c>
      <c r="E14" s="73">
        <v>5</v>
      </c>
      <c r="F14" s="73">
        <v>6</v>
      </c>
      <c r="G14" s="73">
        <v>7</v>
      </c>
      <c r="H14" s="73">
        <v>7</v>
      </c>
      <c r="I14" s="73">
        <v>8</v>
      </c>
      <c r="J14" s="73">
        <v>9</v>
      </c>
      <c r="K14" s="73">
        <v>9</v>
      </c>
      <c r="L14" s="73">
        <v>10</v>
      </c>
      <c r="M14" s="73">
        <v>10</v>
      </c>
      <c r="N14" s="73">
        <v>11</v>
      </c>
      <c r="O14" s="73">
        <v>11</v>
      </c>
      <c r="P14" s="73">
        <v>12</v>
      </c>
      <c r="Q14" s="73">
        <v>14</v>
      </c>
      <c r="R14" s="73">
        <v>15</v>
      </c>
      <c r="S14" s="73">
        <v>17</v>
      </c>
      <c r="T14" s="73">
        <v>18</v>
      </c>
      <c r="U14" s="73">
        <v>20</v>
      </c>
      <c r="V14" s="73">
        <v>22</v>
      </c>
      <c r="W14" s="73">
        <v>25</v>
      </c>
      <c r="X14" s="73">
        <v>27</v>
      </c>
      <c r="Y14" s="73">
        <v>30</v>
      </c>
      <c r="Z14" s="73">
        <v>34</v>
      </c>
    </row>
    <row r="15" spans="1:26">
      <c r="A15" t="s">
        <v>153</v>
      </c>
    </row>
    <row r="16" spans="1:26" ht="32.549999999999997" customHeight="1">
      <c r="A16" s="1" t="s">
        <v>38</v>
      </c>
    </row>
    <row r="17" spans="1:2">
      <c r="A17" t="s">
        <v>51</v>
      </c>
      <c r="B17" s="28" t="s">
        <v>182</v>
      </c>
    </row>
    <row r="18" spans="1:2">
      <c r="A18" t="s">
        <v>52</v>
      </c>
      <c r="B18" s="28" t="s">
        <v>183</v>
      </c>
    </row>
    <row r="19" spans="1:2">
      <c r="A19" t="s">
        <v>53</v>
      </c>
      <c r="B19" s="28" t="s">
        <v>184</v>
      </c>
    </row>
    <row r="20" spans="1:2">
      <c r="A20" t="s">
        <v>54</v>
      </c>
      <c r="B20" s="28" t="s">
        <v>43</v>
      </c>
    </row>
    <row r="21" spans="1:2">
      <c r="A21" t="s">
        <v>329</v>
      </c>
      <c r="B21" s="29" t="s">
        <v>44</v>
      </c>
    </row>
    <row r="22" spans="1:2">
      <c r="A22" t="s">
        <v>55</v>
      </c>
      <c r="B22" s="28" t="s">
        <v>185</v>
      </c>
    </row>
    <row r="23" spans="1:2">
      <c r="A23" t="s">
        <v>56</v>
      </c>
      <c r="B23" s="28" t="s">
        <v>186</v>
      </c>
    </row>
    <row r="24" spans="1:2">
      <c r="A24" t="s">
        <v>57</v>
      </c>
      <c r="B24" s="28" t="s">
        <v>187</v>
      </c>
    </row>
    <row r="25" spans="1:2">
      <c r="A25" t="s">
        <v>58</v>
      </c>
      <c r="B25" s="28" t="s">
        <v>188</v>
      </c>
    </row>
    <row r="26" spans="1:2">
      <c r="A26" t="s">
        <v>59</v>
      </c>
      <c r="B26" s="28" t="s">
        <v>189</v>
      </c>
    </row>
    <row r="27" spans="1:2">
      <c r="A27" t="s">
        <v>60</v>
      </c>
      <c r="B27" s="28" t="s">
        <v>190</v>
      </c>
    </row>
    <row r="28" spans="1:2">
      <c r="A28" t="s">
        <v>61</v>
      </c>
      <c r="B28" s="18" t="s">
        <v>50</v>
      </c>
    </row>
  </sheetData>
  <hyperlinks>
    <hyperlink ref="B21" r:id="rId1" xr:uid="{186EA414-6E5D-44E7-87AF-10F5201B9A4A}"/>
  </hyperlinks>
  <pageMargins left="0.7" right="0.7" top="0.75" bottom="0.75" header="0.3" footer="0.3"/>
  <pageSetup paperSize="9"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468-F209-40C5-9F3A-8285B17FF2F0}">
  <sheetPr>
    <tabColor theme="1"/>
  </sheetPr>
  <dimension ref="A1:C37"/>
  <sheetViews>
    <sheetView showGridLines="0" workbookViewId="0"/>
  </sheetViews>
  <sheetFormatPr defaultColWidth="9.21875" defaultRowHeight="14.25"/>
  <cols>
    <col min="1" max="1" width="12.5546875" style="68" customWidth="1"/>
    <col min="2" max="2" width="111.38671875" style="68" bestFit="1" customWidth="1"/>
    <col min="3" max="3" width="82.6640625" style="68" customWidth="1"/>
    <col min="4" max="16384" width="9.21875" style="68"/>
  </cols>
  <sheetData>
    <row r="1" spans="1:3" ht="21">
      <c r="A1" s="85" t="s">
        <v>268</v>
      </c>
      <c r="B1" s="67"/>
      <c r="C1" s="67"/>
    </row>
    <row r="2" spans="1:3" ht="18" customHeight="1">
      <c r="A2" s="86" t="s">
        <v>269</v>
      </c>
    </row>
    <row r="3" spans="1:3" ht="15.4">
      <c r="A3" s="87" t="s">
        <v>270</v>
      </c>
      <c r="B3" s="91" t="s">
        <v>271</v>
      </c>
      <c r="C3" s="69"/>
    </row>
    <row r="4" spans="1:3" ht="15.4">
      <c r="A4" s="87" t="s">
        <v>272</v>
      </c>
      <c r="B4" s="91" t="s">
        <v>273</v>
      </c>
      <c r="C4" s="69"/>
    </row>
    <row r="5" spans="1:3" ht="15.4">
      <c r="A5" s="87" t="s">
        <v>274</v>
      </c>
      <c r="B5" s="91" t="s">
        <v>275</v>
      </c>
      <c r="C5" s="69"/>
    </row>
    <row r="6" spans="1:3" ht="15.4">
      <c r="A6" s="87" t="s">
        <v>276</v>
      </c>
      <c r="B6" s="91" t="s">
        <v>277</v>
      </c>
      <c r="C6" s="69"/>
    </row>
    <row r="7" spans="1:3" ht="15.4">
      <c r="A7" s="87" t="s">
        <v>278</v>
      </c>
      <c r="B7" s="91" t="s">
        <v>279</v>
      </c>
      <c r="C7" s="69"/>
    </row>
    <row r="8" spans="1:3" ht="15.4">
      <c r="A8" s="87" t="s">
        <v>280</v>
      </c>
      <c r="B8" s="91" t="s">
        <v>281</v>
      </c>
      <c r="C8" s="69"/>
    </row>
    <row r="9" spans="1:3" ht="15.4">
      <c r="A9" s="87" t="s">
        <v>282</v>
      </c>
      <c r="B9" s="91" t="s">
        <v>283</v>
      </c>
      <c r="C9" s="69"/>
    </row>
    <row r="10" spans="1:3" ht="15.4">
      <c r="A10" s="87" t="s">
        <v>284</v>
      </c>
      <c r="B10" s="91" t="s">
        <v>285</v>
      </c>
      <c r="C10" s="69"/>
    </row>
    <row r="11" spans="1:3" ht="15.4">
      <c r="A11" s="87" t="s">
        <v>286</v>
      </c>
      <c r="B11" s="91" t="s">
        <v>287</v>
      </c>
      <c r="C11" s="69"/>
    </row>
    <row r="12" spans="1:3" ht="15.4">
      <c r="A12" s="87" t="s">
        <v>288</v>
      </c>
      <c r="B12" s="91" t="s">
        <v>289</v>
      </c>
    </row>
    <row r="13" spans="1:3" ht="15.4">
      <c r="A13" s="87" t="s">
        <v>290</v>
      </c>
      <c r="B13" s="91" t="s">
        <v>291</v>
      </c>
    </row>
    <row r="14" spans="1:3" ht="15.4">
      <c r="A14" s="87" t="s">
        <v>292</v>
      </c>
      <c r="B14" s="91" t="s">
        <v>293</v>
      </c>
    </row>
    <row r="15" spans="1:3" ht="15.4">
      <c r="A15" s="87" t="s">
        <v>294</v>
      </c>
      <c r="B15" s="91" t="s">
        <v>295</v>
      </c>
    </row>
    <row r="16" spans="1:3" ht="15.4">
      <c r="A16" s="87" t="s">
        <v>296</v>
      </c>
      <c r="B16" s="91" t="s">
        <v>297</v>
      </c>
    </row>
    <row r="17" spans="1:3" ht="15.4">
      <c r="A17" s="87" t="s">
        <v>298</v>
      </c>
      <c r="B17" s="91" t="s">
        <v>299</v>
      </c>
      <c r="C17" s="69"/>
    </row>
    <row r="18" spans="1:3" ht="15.4">
      <c r="A18" s="87" t="s">
        <v>300</v>
      </c>
      <c r="B18" s="91" t="s">
        <v>301</v>
      </c>
      <c r="C18" s="69"/>
    </row>
    <row r="19" spans="1:3" ht="15.4">
      <c r="A19" s="87" t="s">
        <v>302</v>
      </c>
      <c r="B19" s="91" t="s">
        <v>303</v>
      </c>
      <c r="C19" s="70"/>
    </row>
    <row r="20" spans="1:3" ht="15.4">
      <c r="A20" s="87" t="s">
        <v>304</v>
      </c>
      <c r="B20" s="91" t="s">
        <v>305</v>
      </c>
      <c r="C20" s="70"/>
    </row>
    <row r="21" spans="1:3" ht="15.4">
      <c r="A21" s="87" t="s">
        <v>306</v>
      </c>
      <c r="B21" s="91" t="s">
        <v>307</v>
      </c>
      <c r="C21" s="70"/>
    </row>
    <row r="22" spans="1:3" ht="15.4">
      <c r="A22" s="87" t="s">
        <v>308</v>
      </c>
      <c r="B22" s="91" t="s">
        <v>309</v>
      </c>
      <c r="C22" s="70"/>
    </row>
    <row r="23" spans="1:3" ht="15.4">
      <c r="A23" s="87" t="s">
        <v>310</v>
      </c>
      <c r="B23" s="91" t="s">
        <v>311</v>
      </c>
      <c r="C23" s="70"/>
    </row>
    <row r="24" spans="1:3" ht="15.4">
      <c r="A24" s="87" t="s">
        <v>312</v>
      </c>
      <c r="B24" s="91" t="s">
        <v>341</v>
      </c>
      <c r="C24" s="70"/>
    </row>
    <row r="25" spans="1:3" ht="15.4">
      <c r="A25" s="87" t="s">
        <v>313</v>
      </c>
      <c r="B25" s="92" t="s">
        <v>314</v>
      </c>
      <c r="C25" s="70"/>
    </row>
    <row r="26" spans="1:3" ht="15.4">
      <c r="A26" s="87" t="s">
        <v>315</v>
      </c>
      <c r="B26" s="91" t="s">
        <v>399</v>
      </c>
      <c r="C26" s="70"/>
    </row>
    <row r="27" spans="1:3" ht="15.4">
      <c r="A27" s="87" t="s">
        <v>316</v>
      </c>
      <c r="B27" s="92" t="s">
        <v>317</v>
      </c>
      <c r="C27" s="70"/>
    </row>
    <row r="28" spans="1:3" ht="15.4">
      <c r="A28" s="87" t="s">
        <v>318</v>
      </c>
      <c r="B28" s="91" t="s">
        <v>319</v>
      </c>
      <c r="C28" s="70"/>
    </row>
    <row r="29" spans="1:3" ht="15.4">
      <c r="A29" s="87" t="s">
        <v>320</v>
      </c>
      <c r="B29" s="91" t="s">
        <v>321</v>
      </c>
    </row>
    <row r="34" spans="2:2">
      <c r="B34" s="71"/>
    </row>
    <row r="37" spans="2:2">
      <c r="B37" s="72"/>
    </row>
  </sheetData>
  <hyperlinks>
    <hyperlink ref="B3" location="'1a'!A1" display="Current healthcare expenditure by financing scheme, in nominal terms, 1997 to 2020" xr:uid="{6477B510-E058-444E-9758-42EC468DAB96}"/>
    <hyperlink ref="B4" location="'1b'!A1" display="Annual rate of growth in current healthcare expenditure by financing scheme, in nominal terms, 1997 to 2020" xr:uid="{F185CA3B-F174-41B9-AB29-D2ED3B301D1A}"/>
    <hyperlink ref="B5" location="'1c'!A1" display="Current healthcare expenditure per person by financing scheme, in nominal terms, 1997 to 2020" xr:uid="{E91A6A46-967C-4540-B247-5A034D07D776}"/>
    <hyperlink ref="B6" location="'1d'!A1" display="Share of current healthcare expenditure by financing scheme, in nominal terms, 1997 to 2020" xr:uid="{112B4780-E8D5-4255-82E0-C93EA6A38F6C}"/>
    <hyperlink ref="B7" location="'1e'!A1" display="Current healthcare expenditure as per cent of gross domestic product by financing scheme, in nominal terms, 1997 to 2020" xr:uid="{7832B83F-4BC2-4806-B4AF-35562D838BF2}"/>
    <hyperlink ref="B8" location="'2a'!A1" display="Current healthcare expenditure by financing scheme, in real terms, 1997 to 2020" xr:uid="{50732B95-84BF-4DC7-B29B-1911371AD8DD}"/>
    <hyperlink ref="B9" location="'2b'!A1" display="Annual rate of growth in current healthcare expenditure by financing scheme, in real terms, 1997 to 2020" xr:uid="{C47452B7-B37C-4115-94FE-674CC31D557B}"/>
    <hyperlink ref="B10" location="'2c'!A1" display="Current healthcare expenditure per person by financing scheme, in real terms, 1997 to 2020" xr:uid="{C572B0FA-82F0-4104-935B-06E982613215}"/>
    <hyperlink ref="B11" location="'3a'!A1" display="Total current healthcare expenditure by healthcare function and healthcare provider, in nominal terms, 2020" xr:uid="{41B7C0F9-6FD4-4ED8-99DB-C954BF951DC8}"/>
    <hyperlink ref="B12" location="'3b'!A1" display="Government-financed current healthcare expenditure by healthcare function and healthcare provider, in nominal terms, 2020" xr:uid="{681415EE-3028-4AEB-B3D0-D5CA4C608985}"/>
    <hyperlink ref="B13" location="'3c'!A1" display="Voluntary health insurance current healthcare expenditure by healthcare function and healthcare provider, in nominal terms, 2020" xr:uid="{BDDA1C08-F9B4-45FC-87AC-EFFC2D0CA264}"/>
    <hyperlink ref="B14" location="'3d'!A1" display="Non-profit institutions serving households current healthcare expenditure by healthcare function and healthcare provider, in nominal terms, 2020" xr:uid="{545E2230-8E9F-4B8B-A35B-47A67AD3C27E}"/>
    <hyperlink ref="B15" location="'3e'!A1" display="Enterprise-financing of current healthcare expenditure by healthcare function and healthcare provider, in nominal terms, 2020" xr:uid="{21D0BB32-D69D-4E17-92EB-A15D4443BBAE}"/>
    <hyperlink ref="B16" location="'3f'!A1" display="Out-of-pocket current healthcare expenditure by healthcare function and healthcare provider, in nominal terms, 2020" xr:uid="{CD7A65A8-6919-4FCC-8CA5-8C2DBCF0F773}"/>
    <hyperlink ref="B17" location="'4'!A1" display="Long-term care expenditure by function and financing scheme, in nominal terms, 2013 to 2020" xr:uid="{D518E2FA-4753-4CAF-9179-CDC1847DC644}"/>
    <hyperlink ref="B18" location="'5'!A1" display="Long-term care expenditure by function and financing scheme, in real terms, 2013 to 2020" xr:uid="{06C87AFD-57D5-4FEB-8DFF-EE82F4D5D2E9}"/>
    <hyperlink ref="B19" location="'6'!A1" display="Types of revenues of healthcare financing, in nominal terms, 1997 to 2020" xr:uid="{F06D87C1-14D5-432F-84A8-E0A01D9A96AB}"/>
    <hyperlink ref="B20" location="'7'!A1" display="Types of revenues of healthcare financing, in real terms, 1997 to 2020" xr:uid="{428AA458-A7E8-4724-8E22-97AE0C2538F0}"/>
    <hyperlink ref="B21" location="'8'!A1" display="Types of revenues of healthcare financing by financing scheme, 2020" xr:uid="{9ABA0B64-6C11-418C-B1A1-CF588F02D5E5}"/>
    <hyperlink ref="B22" location="'9'!A1" display="Gross fixed capital formation in health systems by type of asset, in nominal terms, 1997 to 2020" xr:uid="{DD82E2AB-C708-4969-A874-B69040B93B8A}"/>
    <hyperlink ref="B23" location="'10'!A1" display="Gross fixed capital formation in health systems by type of asset, in real terms, 1997 to 2020" xr:uid="{5AAC1E60-CFB7-44AA-8F2B-C5D70D07A8A6}"/>
    <hyperlink ref="B24" location="'11a'!A1" display="Revisions to current healthcare expenditure by financing scheme, 1997 to 2019" xr:uid="{D0ED439E-D58A-4812-88B7-60239D6457D8}"/>
    <hyperlink ref="B25" location="'11b'!A1" display="Current healthcare expenditure by financing scheme, as presented in &quot;Healthcare expenditure, UK health accounts: 2019&quot;, 1997 to 2019" xr:uid="{2ED04E3E-B2EE-4F4C-8349-EACCF483ED20}"/>
    <hyperlink ref="B26" location="'12a'!A1" display="Revisions to current healthcare expenditure by healthcare function and financing scheme,  2019" xr:uid="{F5EFC6DF-6826-4A45-A55B-913904C2771A}"/>
    <hyperlink ref="B27" location="'12b'!A1" display="Current healthcare expenditure by healthcare function and financing scheme for 2019 as presented in  &quot;Healthcare expenditure, UK health accounts: 2019&quot;" xr:uid="{AB6021B2-F3B8-4CB0-99AC-6F9821E2D89C}"/>
    <hyperlink ref="B28" location="'13a'!A1" display="Revisions to capital expenditure by asset type, 1997 to 2019" xr:uid="{B87ED649-D988-4ED5-BD92-401F6FC912BD}"/>
    <hyperlink ref="B29" location="'13b'!A1" display="Gross fixed capital formation in health systems by type of asset as presented in  &quot;Healthcare expenditure, UK health accounts: 2019&quot;" xr:uid="{445CE5F6-77FC-4CD3-B290-CDC0453F5FDE}"/>
  </hyperlinks>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18382-4204-4099-8F4C-CB3284C48475}">
  <sheetPr>
    <tabColor theme="7" tint="0.59999389629810485"/>
  </sheetPr>
  <dimension ref="A1:Z30"/>
  <sheetViews>
    <sheetView showGridLines="0" zoomScale="70" zoomScaleNormal="70" workbookViewId="0"/>
  </sheetViews>
  <sheetFormatPr defaultRowHeight="15"/>
  <cols>
    <col min="1" max="1" width="13.83203125" customWidth="1"/>
    <col min="2" max="2" width="59" customWidth="1"/>
  </cols>
  <sheetData>
    <row r="1" spans="1:26" ht="17.649999999999999">
      <c r="A1" s="12" t="s">
        <v>221</v>
      </c>
    </row>
    <row r="2" spans="1:26">
      <c r="A2" s="11" t="s">
        <v>159</v>
      </c>
    </row>
    <row r="3" spans="1:26" ht="31.5" customHeight="1">
      <c r="A3" s="11" t="s">
        <v>64</v>
      </c>
      <c r="C3" s="11"/>
    </row>
    <row r="4" spans="1:26" s="9" customFormat="1" ht="46.5" customHeight="1" thickBot="1">
      <c r="A4" s="31" t="s">
        <v>12</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2" t="s">
        <v>163</v>
      </c>
      <c r="B5" s="40" t="s">
        <v>6</v>
      </c>
      <c r="C5" s="73">
        <v>106536</v>
      </c>
      <c r="D5" s="73">
        <v>112272</v>
      </c>
      <c r="E5" s="73">
        <v>118838</v>
      </c>
      <c r="F5" s="73">
        <v>123298</v>
      </c>
      <c r="G5" s="73">
        <v>129308</v>
      </c>
      <c r="H5" s="73">
        <v>137533</v>
      </c>
      <c r="I5" s="73">
        <v>148606</v>
      </c>
      <c r="J5" s="73">
        <v>156831</v>
      </c>
      <c r="K5" s="73">
        <v>162135</v>
      </c>
      <c r="L5" s="73">
        <v>171142</v>
      </c>
      <c r="M5" s="73">
        <v>174529</v>
      </c>
      <c r="N5" s="73">
        <v>182653</v>
      </c>
      <c r="O5" s="73">
        <v>194528</v>
      </c>
      <c r="P5" s="73">
        <v>197001</v>
      </c>
      <c r="Q5" s="73">
        <v>199091</v>
      </c>
      <c r="R5" s="73">
        <v>202376</v>
      </c>
      <c r="S5" s="73">
        <v>204393</v>
      </c>
      <c r="T5" s="73">
        <v>210172</v>
      </c>
      <c r="U5" s="73">
        <v>214123</v>
      </c>
      <c r="V5" s="73">
        <v>217640</v>
      </c>
      <c r="W5" s="73">
        <v>219866</v>
      </c>
      <c r="X5" s="73">
        <v>225130</v>
      </c>
      <c r="Y5" s="73">
        <v>234063</v>
      </c>
      <c r="Z5" s="73">
        <v>257564</v>
      </c>
    </row>
    <row r="6" spans="1:26">
      <c r="A6" s="10" t="s">
        <v>164</v>
      </c>
      <c r="B6" s="16" t="s">
        <v>176</v>
      </c>
      <c r="C6" s="73">
        <v>80314</v>
      </c>
      <c r="D6" s="73">
        <v>84926</v>
      </c>
      <c r="E6" s="73">
        <v>90829</v>
      </c>
      <c r="F6" s="73">
        <v>94420</v>
      </c>
      <c r="G6" s="73">
        <v>100932</v>
      </c>
      <c r="H6" s="73">
        <v>109598</v>
      </c>
      <c r="I6" s="73">
        <v>116939</v>
      </c>
      <c r="J6" s="73">
        <v>126168</v>
      </c>
      <c r="K6" s="73">
        <v>131999</v>
      </c>
      <c r="L6" s="73">
        <v>139549</v>
      </c>
      <c r="M6" s="73">
        <v>142684</v>
      </c>
      <c r="N6" s="73">
        <v>148653</v>
      </c>
      <c r="O6" s="73">
        <v>157621</v>
      </c>
      <c r="P6" s="73">
        <v>159323</v>
      </c>
      <c r="Q6" s="73">
        <v>161024</v>
      </c>
      <c r="R6" s="73">
        <v>163158</v>
      </c>
      <c r="S6" s="73">
        <v>164344</v>
      </c>
      <c r="T6" s="73">
        <v>169083</v>
      </c>
      <c r="U6" s="73">
        <v>172123</v>
      </c>
      <c r="V6" s="73">
        <v>176002</v>
      </c>
      <c r="W6" s="73">
        <v>176701</v>
      </c>
      <c r="X6" s="73">
        <v>180318</v>
      </c>
      <c r="Y6" s="73">
        <v>187781</v>
      </c>
      <c r="Z6" s="73">
        <v>215568</v>
      </c>
    </row>
    <row r="7" spans="1:26">
      <c r="A7" s="10" t="s">
        <v>165</v>
      </c>
      <c r="B7" s="16" t="s">
        <v>177</v>
      </c>
      <c r="C7" s="73">
        <v>79801</v>
      </c>
      <c r="D7" s="73">
        <v>84371</v>
      </c>
      <c r="E7" s="73">
        <v>90225</v>
      </c>
      <c r="F7" s="73">
        <v>93752</v>
      </c>
      <c r="G7" s="73">
        <v>100222</v>
      </c>
      <c r="H7" s="73">
        <v>108827</v>
      </c>
      <c r="I7" s="73">
        <v>116080</v>
      </c>
      <c r="J7" s="73">
        <v>125327</v>
      </c>
      <c r="K7" s="73">
        <v>131106</v>
      </c>
      <c r="L7" s="73">
        <v>138590</v>
      </c>
      <c r="M7" s="73">
        <v>141740</v>
      </c>
      <c r="N7" s="73">
        <v>147666</v>
      </c>
      <c r="O7" s="73">
        <v>156637</v>
      </c>
      <c r="P7" s="73">
        <v>158260</v>
      </c>
      <c r="Q7" s="73">
        <v>159852</v>
      </c>
      <c r="R7" s="73">
        <v>161895</v>
      </c>
      <c r="S7" s="73">
        <v>162953</v>
      </c>
      <c r="T7" s="73">
        <v>167682</v>
      </c>
      <c r="U7" s="73">
        <v>170555</v>
      </c>
      <c r="V7" s="73">
        <v>174286</v>
      </c>
      <c r="W7" s="73">
        <v>174804</v>
      </c>
      <c r="X7" s="73">
        <v>178323</v>
      </c>
      <c r="Y7" s="73">
        <v>185564</v>
      </c>
      <c r="Z7" s="73">
        <v>213210</v>
      </c>
    </row>
    <row r="8" spans="1:26">
      <c r="A8" s="10" t="s">
        <v>166</v>
      </c>
      <c r="B8" s="16" t="s">
        <v>178</v>
      </c>
      <c r="C8" s="73">
        <v>513</v>
      </c>
      <c r="D8" s="73">
        <v>555</v>
      </c>
      <c r="E8" s="73">
        <v>604</v>
      </c>
      <c r="F8" s="73">
        <v>668</v>
      </c>
      <c r="G8" s="73">
        <v>710</v>
      </c>
      <c r="H8" s="73">
        <v>770</v>
      </c>
      <c r="I8" s="73">
        <v>859</v>
      </c>
      <c r="J8" s="73">
        <v>841</v>
      </c>
      <c r="K8" s="73">
        <v>892</v>
      </c>
      <c r="L8" s="73">
        <v>959</v>
      </c>
      <c r="M8" s="73">
        <v>944</v>
      </c>
      <c r="N8" s="73">
        <v>987</v>
      </c>
      <c r="O8" s="73">
        <v>985</v>
      </c>
      <c r="P8" s="73">
        <v>1063</v>
      </c>
      <c r="Q8" s="73">
        <v>1171</v>
      </c>
      <c r="R8" s="73">
        <v>1263</v>
      </c>
      <c r="S8" s="73">
        <v>1390</v>
      </c>
      <c r="T8" s="73">
        <v>1401</v>
      </c>
      <c r="U8" s="73">
        <v>1568</v>
      </c>
      <c r="V8" s="73">
        <v>1716</v>
      </c>
      <c r="W8" s="73">
        <v>1897</v>
      </c>
      <c r="X8" s="73">
        <v>1996</v>
      </c>
      <c r="Y8" s="73">
        <v>2217</v>
      </c>
      <c r="Z8" s="73">
        <v>2359</v>
      </c>
    </row>
    <row r="9" spans="1:26">
      <c r="A9" s="10" t="s">
        <v>167</v>
      </c>
      <c r="B9" s="16" t="s">
        <v>179</v>
      </c>
      <c r="C9" s="73">
        <v>4045</v>
      </c>
      <c r="D9" s="73">
        <v>4172</v>
      </c>
      <c r="E9" s="73">
        <v>4407</v>
      </c>
      <c r="F9" s="73">
        <v>5251</v>
      </c>
      <c r="G9" s="73">
        <v>5815</v>
      </c>
      <c r="H9" s="73">
        <v>5975</v>
      </c>
      <c r="I9" s="73">
        <v>5942</v>
      </c>
      <c r="J9" s="73">
        <v>5998</v>
      </c>
      <c r="K9" s="73">
        <v>6444</v>
      </c>
      <c r="L9" s="73">
        <v>6661</v>
      </c>
      <c r="M9" s="73">
        <v>6826</v>
      </c>
      <c r="N9" s="73">
        <v>7291</v>
      </c>
      <c r="O9" s="73">
        <v>6989</v>
      </c>
      <c r="P9" s="73">
        <v>6900</v>
      </c>
      <c r="Q9" s="73">
        <v>6980</v>
      </c>
      <c r="R9" s="73">
        <v>7044</v>
      </c>
      <c r="S9" s="73">
        <v>7053</v>
      </c>
      <c r="T9" s="73">
        <v>7169</v>
      </c>
      <c r="U9" s="73">
        <v>7013</v>
      </c>
      <c r="V9" s="73">
        <v>6100</v>
      </c>
      <c r="W9" s="73">
        <v>6548</v>
      </c>
      <c r="X9" s="73">
        <v>6768</v>
      </c>
      <c r="Y9" s="73">
        <v>6678</v>
      </c>
      <c r="Z9" s="73">
        <v>5756</v>
      </c>
    </row>
    <row r="10" spans="1:26">
      <c r="A10" s="10" t="s">
        <v>168</v>
      </c>
      <c r="B10" s="16" t="s">
        <v>180</v>
      </c>
      <c r="C10" s="73">
        <v>22169</v>
      </c>
      <c r="D10" s="73">
        <v>23166</v>
      </c>
      <c r="E10" s="73">
        <v>23592</v>
      </c>
      <c r="F10" s="73">
        <v>23617</v>
      </c>
      <c r="G10" s="73">
        <v>22551</v>
      </c>
      <c r="H10" s="73">
        <v>21949</v>
      </c>
      <c r="I10" s="73">
        <v>25713</v>
      </c>
      <c r="J10" s="73">
        <v>24653</v>
      </c>
      <c r="K10" s="73">
        <v>23680</v>
      </c>
      <c r="L10" s="73">
        <v>24918</v>
      </c>
      <c r="M10" s="73">
        <v>25005</v>
      </c>
      <c r="N10" s="73">
        <v>26695</v>
      </c>
      <c r="O10" s="73">
        <v>29904</v>
      </c>
      <c r="P10" s="73">
        <v>30762</v>
      </c>
      <c r="Q10" s="73">
        <v>31070</v>
      </c>
      <c r="R10" s="73">
        <v>32156</v>
      </c>
      <c r="S10" s="73">
        <v>32976</v>
      </c>
      <c r="T10" s="73">
        <v>33900</v>
      </c>
      <c r="U10" s="73">
        <v>34965</v>
      </c>
      <c r="V10" s="73">
        <v>35513</v>
      </c>
      <c r="W10" s="73">
        <v>36590</v>
      </c>
      <c r="X10" s="73">
        <v>38015</v>
      </c>
      <c r="Y10" s="73">
        <v>39571</v>
      </c>
      <c r="Z10" s="73">
        <v>36205</v>
      </c>
    </row>
    <row r="11" spans="1:26">
      <c r="A11" s="10" t="s">
        <v>169</v>
      </c>
      <c r="B11" s="16" t="s">
        <v>173</v>
      </c>
      <c r="C11" s="73">
        <v>20739</v>
      </c>
      <c r="D11" s="73">
        <v>21640</v>
      </c>
      <c r="E11" s="73">
        <v>22204</v>
      </c>
      <c r="F11" s="73">
        <v>22133</v>
      </c>
      <c r="G11" s="73">
        <v>21080</v>
      </c>
      <c r="H11" s="73">
        <v>20556</v>
      </c>
      <c r="I11" s="73">
        <v>24412</v>
      </c>
      <c r="J11" s="73">
        <v>23495</v>
      </c>
      <c r="K11" s="73">
        <v>22484</v>
      </c>
      <c r="L11" s="73">
        <v>23746</v>
      </c>
      <c r="M11" s="73">
        <v>23756</v>
      </c>
      <c r="N11" s="73">
        <v>25475</v>
      </c>
      <c r="O11" s="73">
        <v>28758</v>
      </c>
      <c r="P11" s="73">
        <v>29500</v>
      </c>
      <c r="Q11" s="73">
        <v>29758</v>
      </c>
      <c r="R11" s="73">
        <v>30828</v>
      </c>
      <c r="S11" s="73">
        <v>31653</v>
      </c>
      <c r="T11" s="73">
        <v>32613</v>
      </c>
      <c r="U11" s="73">
        <v>33683</v>
      </c>
      <c r="V11" s="73">
        <v>34283</v>
      </c>
      <c r="W11" s="73">
        <v>35374</v>
      </c>
      <c r="X11" s="73">
        <v>36814</v>
      </c>
      <c r="Y11" s="73">
        <v>38355</v>
      </c>
      <c r="Z11" s="73">
        <v>35041</v>
      </c>
    </row>
    <row r="12" spans="1:26">
      <c r="A12" s="10" t="s">
        <v>170</v>
      </c>
      <c r="B12" s="16" t="s">
        <v>174</v>
      </c>
      <c r="C12" s="73">
        <v>1377</v>
      </c>
      <c r="D12" s="73">
        <v>1469</v>
      </c>
      <c r="E12" s="73">
        <v>1325</v>
      </c>
      <c r="F12" s="73">
        <v>1415</v>
      </c>
      <c r="G12" s="73">
        <v>1398</v>
      </c>
      <c r="H12" s="73">
        <v>1314</v>
      </c>
      <c r="I12" s="73">
        <v>1212</v>
      </c>
      <c r="J12" s="73">
        <v>1071</v>
      </c>
      <c r="K12" s="73">
        <v>1103</v>
      </c>
      <c r="L12" s="73">
        <v>1073</v>
      </c>
      <c r="M12" s="73">
        <v>1151</v>
      </c>
      <c r="N12" s="73">
        <v>1118</v>
      </c>
      <c r="O12" s="73">
        <v>1043</v>
      </c>
      <c r="P12" s="73">
        <v>1152</v>
      </c>
      <c r="Q12" s="73">
        <v>1191</v>
      </c>
      <c r="R12" s="73">
        <v>1197</v>
      </c>
      <c r="S12" s="73">
        <v>1179</v>
      </c>
      <c r="T12" s="73">
        <v>1142</v>
      </c>
      <c r="U12" s="73">
        <v>1120</v>
      </c>
      <c r="V12" s="73">
        <v>1053</v>
      </c>
      <c r="W12" s="73">
        <v>1020</v>
      </c>
      <c r="X12" s="73">
        <v>994</v>
      </c>
      <c r="Y12" s="73">
        <v>987</v>
      </c>
      <c r="Z12" s="73">
        <v>921</v>
      </c>
    </row>
    <row r="13" spans="1:26">
      <c r="A13" s="10" t="s">
        <v>171</v>
      </c>
      <c r="B13" s="16" t="s">
        <v>175</v>
      </c>
      <c r="C13" s="73">
        <v>53</v>
      </c>
      <c r="D13" s="73">
        <v>58</v>
      </c>
      <c r="E13" s="73">
        <v>63</v>
      </c>
      <c r="F13" s="73">
        <v>69</v>
      </c>
      <c r="G13" s="73">
        <v>74</v>
      </c>
      <c r="H13" s="73">
        <v>80</v>
      </c>
      <c r="I13" s="73">
        <v>89</v>
      </c>
      <c r="J13" s="73">
        <v>87</v>
      </c>
      <c r="K13" s="73">
        <v>92</v>
      </c>
      <c r="L13" s="73">
        <v>99</v>
      </c>
      <c r="M13" s="73">
        <v>98</v>
      </c>
      <c r="N13" s="73">
        <v>102</v>
      </c>
      <c r="O13" s="73">
        <v>102</v>
      </c>
      <c r="P13" s="73">
        <v>110</v>
      </c>
      <c r="Q13" s="73">
        <v>121</v>
      </c>
      <c r="R13" s="73">
        <v>131</v>
      </c>
      <c r="S13" s="73">
        <v>144</v>
      </c>
      <c r="T13" s="73">
        <v>145</v>
      </c>
      <c r="U13" s="73">
        <v>162</v>
      </c>
      <c r="V13" s="73">
        <v>178</v>
      </c>
      <c r="W13" s="73">
        <v>197</v>
      </c>
      <c r="X13" s="73">
        <v>207</v>
      </c>
      <c r="Y13" s="73">
        <v>230</v>
      </c>
      <c r="Z13" s="73">
        <v>244</v>
      </c>
    </row>
    <row r="14" spans="1:26">
      <c r="A14" s="10" t="s">
        <v>172</v>
      </c>
      <c r="B14" s="16" t="s">
        <v>181</v>
      </c>
      <c r="C14" s="73">
        <v>7</v>
      </c>
      <c r="D14" s="73">
        <v>8</v>
      </c>
      <c r="E14" s="73">
        <v>9</v>
      </c>
      <c r="F14" s="73">
        <v>10</v>
      </c>
      <c r="G14" s="73">
        <v>10</v>
      </c>
      <c r="H14" s="73">
        <v>11</v>
      </c>
      <c r="I14" s="73">
        <v>12</v>
      </c>
      <c r="J14" s="73">
        <v>12</v>
      </c>
      <c r="K14" s="73">
        <v>13</v>
      </c>
      <c r="L14" s="73">
        <v>14</v>
      </c>
      <c r="M14" s="73">
        <v>14</v>
      </c>
      <c r="N14" s="73">
        <v>14</v>
      </c>
      <c r="O14" s="73">
        <v>14</v>
      </c>
      <c r="P14" s="73">
        <v>15</v>
      </c>
      <c r="Q14" s="73">
        <v>17</v>
      </c>
      <c r="R14" s="73">
        <v>18</v>
      </c>
      <c r="S14" s="73">
        <v>20</v>
      </c>
      <c r="T14" s="73">
        <v>20</v>
      </c>
      <c r="U14" s="73">
        <v>23</v>
      </c>
      <c r="V14" s="73">
        <v>25</v>
      </c>
      <c r="W14" s="73">
        <v>27</v>
      </c>
      <c r="X14" s="73">
        <v>29</v>
      </c>
      <c r="Y14" s="73">
        <v>32</v>
      </c>
      <c r="Z14" s="73">
        <v>34</v>
      </c>
    </row>
    <row r="15" spans="1:26">
      <c r="A15" t="s">
        <v>153</v>
      </c>
    </row>
    <row r="16" spans="1:26" ht="32.549999999999997" customHeight="1">
      <c r="A16" s="1" t="s">
        <v>38</v>
      </c>
    </row>
    <row r="17" spans="1:2">
      <c r="A17" t="s">
        <v>51</v>
      </c>
      <c r="B17" s="28" t="s">
        <v>182</v>
      </c>
    </row>
    <row r="18" spans="1:2">
      <c r="A18" t="s">
        <v>52</v>
      </c>
      <c r="B18" s="28" t="s">
        <v>183</v>
      </c>
    </row>
    <row r="19" spans="1:2">
      <c r="A19" t="s">
        <v>53</v>
      </c>
      <c r="B19" s="28" t="s">
        <v>191</v>
      </c>
    </row>
    <row r="20" spans="1:2">
      <c r="A20" t="s">
        <v>328</v>
      </c>
      <c r="B20" s="29" t="s">
        <v>41</v>
      </c>
    </row>
    <row r="21" spans="1:2">
      <c r="A21" t="s">
        <v>54</v>
      </c>
      <c r="B21" s="18" t="s">
        <v>323</v>
      </c>
    </row>
    <row r="22" spans="1:2">
      <c r="A22" t="s">
        <v>55</v>
      </c>
      <c r="B22" s="28" t="s">
        <v>43</v>
      </c>
    </row>
    <row r="23" spans="1:2">
      <c r="A23" t="s">
        <v>330</v>
      </c>
      <c r="B23" s="29" t="s">
        <v>44</v>
      </c>
    </row>
    <row r="24" spans="1:2">
      <c r="A24" t="s">
        <v>56</v>
      </c>
      <c r="B24" s="28" t="s">
        <v>185</v>
      </c>
    </row>
    <row r="25" spans="1:2">
      <c r="A25" t="s">
        <v>57</v>
      </c>
      <c r="B25" s="28" t="s">
        <v>186</v>
      </c>
    </row>
    <row r="26" spans="1:2">
      <c r="A26" t="s">
        <v>58</v>
      </c>
      <c r="B26" s="28" t="s">
        <v>187</v>
      </c>
    </row>
    <row r="27" spans="1:2">
      <c r="A27" t="s">
        <v>59</v>
      </c>
      <c r="B27" s="28" t="s">
        <v>188</v>
      </c>
    </row>
    <row r="28" spans="1:2">
      <c r="A28" t="s">
        <v>60</v>
      </c>
      <c r="B28" s="28" t="s">
        <v>189</v>
      </c>
    </row>
    <row r="29" spans="1:2">
      <c r="A29" t="s">
        <v>61</v>
      </c>
      <c r="B29" s="28" t="s">
        <v>190</v>
      </c>
    </row>
    <row r="30" spans="1:2">
      <c r="A30" t="s">
        <v>62</v>
      </c>
      <c r="B30" s="18" t="s">
        <v>50</v>
      </c>
    </row>
  </sheetData>
  <hyperlinks>
    <hyperlink ref="B20" r:id="rId1" xr:uid="{5D9A78D3-F9F1-4D91-8E6A-53EF296D6F95}"/>
    <hyperlink ref="B23" r:id="rId2" xr:uid="{2016FC12-08DA-4BDC-BED8-EAE5B0801500}"/>
  </hyperlinks>
  <pageMargins left="0.7" right="0.7" top="0.75" bottom="0.75" header="0.3" footer="0.3"/>
  <pageSetup paperSize="9" orientation="portrait" r:id="rId3"/>
  <tableParts count="1">
    <tablePart r:id="rId4"/>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D380D-1F02-4EB5-B400-2A9E58EB279A}">
  <sheetPr>
    <tabColor theme="7" tint="0.59999389629810485"/>
  </sheetPr>
  <dimension ref="A1:L27"/>
  <sheetViews>
    <sheetView showGridLines="0" zoomScale="70" zoomScaleNormal="70" workbookViewId="0"/>
  </sheetViews>
  <sheetFormatPr defaultRowHeight="15"/>
  <cols>
    <col min="1" max="1" width="13.0546875" customWidth="1"/>
    <col min="2" max="2" width="51.6640625" bestFit="1" customWidth="1"/>
    <col min="3" max="3" width="13.0546875" customWidth="1"/>
    <col min="4" max="4" width="14.609375" customWidth="1"/>
    <col min="5" max="5" width="13.0546875" customWidth="1"/>
    <col min="6" max="6" width="17.0546875" customWidth="1"/>
    <col min="7" max="7" width="12.5546875" customWidth="1"/>
    <col min="8" max="8" width="15.21875" customWidth="1"/>
    <col min="9" max="9" width="14.44140625" customWidth="1"/>
    <col min="10" max="10" width="15.21875" customWidth="1"/>
    <col min="11" max="11" width="12.21875" customWidth="1"/>
    <col min="12" max="12" width="13.6640625" customWidth="1"/>
  </cols>
  <sheetData>
    <row r="1" spans="1:12" ht="17.649999999999999">
      <c r="A1" s="12" t="s">
        <v>387</v>
      </c>
    </row>
    <row r="2" spans="1:12" ht="22.5" customHeight="1">
      <c r="A2" s="11" t="s">
        <v>158</v>
      </c>
    </row>
    <row r="3" spans="1:12" ht="31.5" customHeight="1">
      <c r="A3" s="11" t="s">
        <v>64</v>
      </c>
      <c r="B3" s="11"/>
    </row>
    <row r="4" spans="1:12" ht="30">
      <c r="A4" s="23" t="s">
        <v>204</v>
      </c>
      <c r="B4" s="41" t="s">
        <v>13</v>
      </c>
      <c r="C4" s="30" t="s">
        <v>163</v>
      </c>
      <c r="D4" s="25" t="s">
        <v>164</v>
      </c>
      <c r="E4" s="25" t="s">
        <v>165</v>
      </c>
      <c r="F4" s="25" t="s">
        <v>166</v>
      </c>
      <c r="G4" s="25" t="s">
        <v>167</v>
      </c>
      <c r="H4" s="25" t="s">
        <v>168</v>
      </c>
      <c r="I4" s="25" t="s">
        <v>169</v>
      </c>
      <c r="J4" s="25" t="s">
        <v>170</v>
      </c>
      <c r="K4" s="25" t="s">
        <v>171</v>
      </c>
      <c r="L4" s="25" t="s">
        <v>172</v>
      </c>
    </row>
    <row r="5" spans="1:12" ht="67.05" customHeight="1">
      <c r="A5" s="10" t="s">
        <v>155</v>
      </c>
      <c r="B5" s="16" t="s">
        <v>155</v>
      </c>
      <c r="C5" s="32" t="s">
        <v>6</v>
      </c>
      <c r="D5" s="33" t="s">
        <v>198</v>
      </c>
      <c r="E5" s="33" t="s">
        <v>199</v>
      </c>
      <c r="F5" s="33" t="s">
        <v>200</v>
      </c>
      <c r="G5" s="33" t="s">
        <v>201</v>
      </c>
      <c r="H5" s="33" t="s">
        <v>202</v>
      </c>
      <c r="I5" s="33" t="s">
        <v>173</v>
      </c>
      <c r="J5" s="33" t="s">
        <v>174</v>
      </c>
      <c r="K5" s="33" t="s">
        <v>175</v>
      </c>
      <c r="L5" s="33" t="s">
        <v>203</v>
      </c>
    </row>
    <row r="6" spans="1:12">
      <c r="A6" s="2" t="s">
        <v>0</v>
      </c>
      <c r="B6" s="15" t="s">
        <v>6</v>
      </c>
      <c r="C6" s="80">
        <v>257564</v>
      </c>
      <c r="D6" s="80">
        <v>215568</v>
      </c>
      <c r="E6" s="80">
        <v>213210</v>
      </c>
      <c r="F6" s="80">
        <v>2359</v>
      </c>
      <c r="G6" s="80">
        <v>5756</v>
      </c>
      <c r="H6" s="80">
        <v>36205</v>
      </c>
      <c r="I6" s="80">
        <v>35041</v>
      </c>
      <c r="J6" s="80">
        <v>921</v>
      </c>
      <c r="K6" s="80">
        <v>244</v>
      </c>
      <c r="L6" s="80">
        <v>34</v>
      </c>
    </row>
    <row r="7" spans="1:12">
      <c r="A7" s="10" t="s">
        <v>1</v>
      </c>
      <c r="B7" s="16" t="s">
        <v>193</v>
      </c>
      <c r="C7" s="80">
        <v>213377</v>
      </c>
      <c r="D7" s="80">
        <v>213210</v>
      </c>
      <c r="E7" s="80">
        <v>213210</v>
      </c>
      <c r="F7" s="80">
        <v>0</v>
      </c>
      <c r="G7" s="80">
        <v>0</v>
      </c>
      <c r="H7" s="80">
        <v>167</v>
      </c>
      <c r="I7" s="80">
        <v>0</v>
      </c>
      <c r="J7" s="80">
        <v>167</v>
      </c>
      <c r="K7" s="80">
        <v>0</v>
      </c>
      <c r="L7" s="80">
        <v>0</v>
      </c>
    </row>
    <row r="8" spans="1:12">
      <c r="A8" s="10" t="s">
        <v>2</v>
      </c>
      <c r="B8" s="16" t="s">
        <v>194</v>
      </c>
      <c r="C8" s="80">
        <v>5756</v>
      </c>
      <c r="D8" s="80">
        <v>0</v>
      </c>
      <c r="E8" s="80">
        <v>0</v>
      </c>
      <c r="F8" s="80">
        <v>0</v>
      </c>
      <c r="G8" s="80">
        <v>5756</v>
      </c>
      <c r="H8" s="80">
        <v>0</v>
      </c>
      <c r="I8" s="80">
        <v>0</v>
      </c>
      <c r="J8" s="80">
        <v>0</v>
      </c>
      <c r="K8" s="80">
        <v>0</v>
      </c>
      <c r="L8" s="80">
        <v>0</v>
      </c>
    </row>
    <row r="9" spans="1:12">
      <c r="A9" s="10" t="s">
        <v>3</v>
      </c>
      <c r="B9" s="16" t="s">
        <v>195</v>
      </c>
      <c r="C9" s="80">
        <v>5491</v>
      </c>
      <c r="D9" s="80">
        <v>2359</v>
      </c>
      <c r="E9" s="80">
        <v>0</v>
      </c>
      <c r="F9" s="80">
        <v>2359</v>
      </c>
      <c r="G9" s="80">
        <v>0</v>
      </c>
      <c r="H9" s="80">
        <v>3098</v>
      </c>
      <c r="I9" s="80">
        <v>2748</v>
      </c>
      <c r="J9" s="80">
        <v>106</v>
      </c>
      <c r="K9" s="80">
        <v>244</v>
      </c>
      <c r="L9" s="80">
        <v>34</v>
      </c>
    </row>
    <row r="10" spans="1:12">
      <c r="A10" s="10" t="s">
        <v>4</v>
      </c>
      <c r="B10" s="16" t="s">
        <v>196</v>
      </c>
      <c r="C10" s="80">
        <v>648</v>
      </c>
      <c r="D10" s="80">
        <v>0</v>
      </c>
      <c r="E10" s="80">
        <v>0</v>
      </c>
      <c r="F10" s="80">
        <v>0</v>
      </c>
      <c r="G10" s="80">
        <v>0</v>
      </c>
      <c r="H10" s="80">
        <v>648</v>
      </c>
      <c r="I10" s="80">
        <v>0</v>
      </c>
      <c r="J10" s="80">
        <v>648</v>
      </c>
      <c r="K10" s="80">
        <v>0</v>
      </c>
      <c r="L10" s="80">
        <v>0</v>
      </c>
    </row>
    <row r="11" spans="1:12">
      <c r="A11" s="10" t="s">
        <v>5</v>
      </c>
      <c r="B11" s="16" t="s">
        <v>197</v>
      </c>
      <c r="C11" s="80">
        <v>32293</v>
      </c>
      <c r="D11" s="80">
        <v>0</v>
      </c>
      <c r="E11" s="80">
        <v>0</v>
      </c>
      <c r="F11" s="80">
        <v>0</v>
      </c>
      <c r="G11" s="80">
        <v>0</v>
      </c>
      <c r="H11" s="80">
        <v>32293</v>
      </c>
      <c r="I11" s="80">
        <v>32293</v>
      </c>
      <c r="J11" s="80">
        <v>0</v>
      </c>
      <c r="K11" s="80">
        <v>0</v>
      </c>
      <c r="L11" s="80">
        <v>0</v>
      </c>
    </row>
    <row r="12" spans="1:12">
      <c r="A12" s="11" t="s">
        <v>152</v>
      </c>
      <c r="B12" s="11"/>
      <c r="C12" s="11"/>
      <c r="D12" s="11"/>
      <c r="E12" s="11"/>
      <c r="F12" s="11"/>
      <c r="G12" s="11"/>
      <c r="H12" s="11"/>
      <c r="I12" s="11"/>
      <c r="J12" s="11"/>
      <c r="K12" s="11"/>
      <c r="L12" s="11"/>
    </row>
    <row r="13" spans="1:12" ht="32.549999999999997" customHeight="1">
      <c r="A13" s="1" t="s">
        <v>38</v>
      </c>
    </row>
    <row r="14" spans="1:12">
      <c r="A14" t="s">
        <v>51</v>
      </c>
      <c r="B14" s="28" t="s">
        <v>182</v>
      </c>
    </row>
    <row r="15" spans="1:12">
      <c r="A15" t="s">
        <v>52</v>
      </c>
      <c r="B15" s="28" t="s">
        <v>183</v>
      </c>
    </row>
    <row r="16" spans="1:12">
      <c r="A16" t="s">
        <v>53</v>
      </c>
      <c r="B16" s="28" t="s">
        <v>191</v>
      </c>
    </row>
    <row r="17" spans="1:2">
      <c r="A17" t="s">
        <v>328</v>
      </c>
      <c r="B17" s="29" t="s">
        <v>41</v>
      </c>
    </row>
    <row r="18" spans="1:2">
      <c r="A18" t="s">
        <v>54</v>
      </c>
      <c r="B18" s="28" t="s">
        <v>184</v>
      </c>
    </row>
    <row r="19" spans="1:2">
      <c r="A19" t="s">
        <v>55</v>
      </c>
      <c r="B19" s="28" t="s">
        <v>43</v>
      </c>
    </row>
    <row r="20" spans="1:2">
      <c r="A20" t="s">
        <v>330</v>
      </c>
      <c r="B20" s="29" t="s">
        <v>44</v>
      </c>
    </row>
    <row r="21" spans="1:2">
      <c r="A21" t="s">
        <v>56</v>
      </c>
      <c r="B21" s="28" t="s">
        <v>185</v>
      </c>
    </row>
    <row r="22" spans="1:2">
      <c r="A22" t="s">
        <v>57</v>
      </c>
      <c r="B22" s="28" t="s">
        <v>186</v>
      </c>
    </row>
    <row r="23" spans="1:2">
      <c r="A23" t="s">
        <v>58</v>
      </c>
      <c r="B23" s="28" t="s">
        <v>187</v>
      </c>
    </row>
    <row r="24" spans="1:2">
      <c r="A24" t="s">
        <v>59</v>
      </c>
      <c r="B24" s="28" t="s">
        <v>188</v>
      </c>
    </row>
    <row r="25" spans="1:2">
      <c r="A25" t="s">
        <v>60</v>
      </c>
      <c r="B25" s="28" t="s">
        <v>189</v>
      </c>
    </row>
    <row r="26" spans="1:2">
      <c r="A26" t="s">
        <v>61</v>
      </c>
      <c r="B26" s="28" t="s">
        <v>190</v>
      </c>
    </row>
    <row r="27" spans="1:2">
      <c r="A27" t="s">
        <v>62</v>
      </c>
      <c r="B27" s="18" t="s">
        <v>50</v>
      </c>
    </row>
  </sheetData>
  <hyperlinks>
    <hyperlink ref="B17" r:id="rId1" xr:uid="{72F520A2-B1D6-4DFE-A8DF-12C174980224}"/>
    <hyperlink ref="B20" r:id="rId2" xr:uid="{B5104B59-BF16-4CAA-9208-BC6C16B75D2B}"/>
  </hyperlinks>
  <pageMargins left="0.7" right="0.7" top="0.75" bottom="0.75" header="0.3" footer="0.3"/>
  <pageSetup paperSize="9" orientation="portrait" r:id="rId3"/>
  <tableParts count="1">
    <tablePart r:id="rId4"/>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D4E75-8EAC-4289-A4DF-EFAF9222435E}">
  <sheetPr>
    <tabColor rgb="FF00B050"/>
  </sheetPr>
  <dimension ref="A1:AA21"/>
  <sheetViews>
    <sheetView showGridLines="0" zoomScale="70" zoomScaleNormal="70" workbookViewId="0"/>
  </sheetViews>
  <sheetFormatPr defaultRowHeight="15"/>
  <cols>
    <col min="1" max="1" width="13.83203125" customWidth="1"/>
    <col min="2" max="2" width="59" customWidth="1"/>
  </cols>
  <sheetData>
    <row r="1" spans="1:27" ht="17.649999999999999">
      <c r="A1" s="12" t="s">
        <v>388</v>
      </c>
    </row>
    <row r="2" spans="1:27">
      <c r="A2" s="11" t="s">
        <v>159</v>
      </c>
    </row>
    <row r="3" spans="1:27" ht="31.5" customHeight="1">
      <c r="A3" s="11" t="s">
        <v>64</v>
      </c>
      <c r="C3" s="11"/>
    </row>
    <row r="4" spans="1:27" s="9" customFormat="1" ht="46.5" customHeight="1" thickBot="1">
      <c r="A4" s="31" t="s">
        <v>213</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7" ht="21" customHeight="1">
      <c r="A5" s="2" t="s">
        <v>209</v>
      </c>
      <c r="B5" s="15" t="s">
        <v>205</v>
      </c>
      <c r="C5" s="73">
        <v>2680</v>
      </c>
      <c r="D5" s="73">
        <v>3351</v>
      </c>
      <c r="E5" s="73">
        <v>3496</v>
      </c>
      <c r="F5" s="73">
        <v>2720</v>
      </c>
      <c r="G5" s="73">
        <v>3889</v>
      </c>
      <c r="H5" s="73">
        <v>3909</v>
      </c>
      <c r="I5" s="73">
        <v>4598</v>
      </c>
      <c r="J5" s="73">
        <v>4380</v>
      </c>
      <c r="K5" s="73">
        <v>5998</v>
      </c>
      <c r="L5" s="73">
        <v>6341</v>
      </c>
      <c r="M5" s="73">
        <v>8184</v>
      </c>
      <c r="N5" s="73">
        <v>7589</v>
      </c>
      <c r="O5" s="73">
        <v>8401</v>
      </c>
      <c r="P5" s="73">
        <v>6230</v>
      </c>
      <c r="Q5" s="73">
        <v>4726</v>
      </c>
      <c r="R5" s="73">
        <v>4680</v>
      </c>
      <c r="S5" s="73">
        <v>4706</v>
      </c>
      <c r="T5" s="73">
        <v>5192</v>
      </c>
      <c r="U5" s="73">
        <v>5781</v>
      </c>
      <c r="V5" s="73">
        <v>5756</v>
      </c>
      <c r="W5" s="73">
        <v>6381</v>
      </c>
      <c r="X5" s="73">
        <v>6984</v>
      </c>
      <c r="Y5" s="73">
        <v>7350</v>
      </c>
      <c r="Z5" s="73">
        <v>9328</v>
      </c>
      <c r="AA5" s="73"/>
    </row>
    <row r="6" spans="1:27" ht="20" customHeight="1">
      <c r="A6" s="10" t="s">
        <v>210</v>
      </c>
      <c r="B6" s="16" t="s">
        <v>206</v>
      </c>
      <c r="C6" s="73">
        <v>1809</v>
      </c>
      <c r="D6" s="73">
        <v>2417</v>
      </c>
      <c r="E6" s="73">
        <v>2448</v>
      </c>
      <c r="F6" s="73">
        <v>1832</v>
      </c>
      <c r="G6" s="73">
        <v>2587</v>
      </c>
      <c r="H6" s="73">
        <v>2590</v>
      </c>
      <c r="I6" s="73">
        <v>2994</v>
      </c>
      <c r="J6" s="73">
        <v>2788</v>
      </c>
      <c r="K6" s="73">
        <v>4511</v>
      </c>
      <c r="L6" s="73">
        <v>4857</v>
      </c>
      <c r="M6" s="73">
        <v>6885</v>
      </c>
      <c r="N6" s="73">
        <v>6457</v>
      </c>
      <c r="O6" s="73">
        <v>7158</v>
      </c>
      <c r="P6" s="73">
        <v>4090</v>
      </c>
      <c r="Q6" s="73">
        <v>2166</v>
      </c>
      <c r="R6" s="73">
        <v>2047</v>
      </c>
      <c r="S6" s="73">
        <v>1991</v>
      </c>
      <c r="T6" s="73">
        <v>2126</v>
      </c>
      <c r="U6" s="73">
        <v>2592</v>
      </c>
      <c r="V6" s="73">
        <v>2578</v>
      </c>
      <c r="W6" s="73">
        <v>3058</v>
      </c>
      <c r="X6" s="73">
        <v>3353</v>
      </c>
      <c r="Y6" s="73">
        <v>3345</v>
      </c>
      <c r="Z6" s="73">
        <v>4808</v>
      </c>
      <c r="AA6" s="73"/>
    </row>
    <row r="7" spans="1:27" ht="20.55" customHeight="1">
      <c r="A7" s="10" t="s">
        <v>211</v>
      </c>
      <c r="B7" s="16" t="s">
        <v>207</v>
      </c>
      <c r="C7" s="73">
        <v>723</v>
      </c>
      <c r="D7" s="73">
        <v>761</v>
      </c>
      <c r="E7" s="73">
        <v>847</v>
      </c>
      <c r="F7" s="73">
        <v>647</v>
      </c>
      <c r="G7" s="73">
        <v>1013</v>
      </c>
      <c r="H7" s="73">
        <v>1046</v>
      </c>
      <c r="I7" s="73">
        <v>1216</v>
      </c>
      <c r="J7" s="73">
        <v>1166</v>
      </c>
      <c r="K7" s="73">
        <v>1064</v>
      </c>
      <c r="L7" s="73">
        <v>1072</v>
      </c>
      <c r="M7" s="73">
        <v>812</v>
      </c>
      <c r="N7" s="73">
        <v>677</v>
      </c>
      <c r="O7" s="73">
        <v>761</v>
      </c>
      <c r="P7" s="73">
        <v>1538</v>
      </c>
      <c r="Q7" s="73">
        <v>1785</v>
      </c>
      <c r="R7" s="73">
        <v>1860</v>
      </c>
      <c r="S7" s="73">
        <v>1846</v>
      </c>
      <c r="T7" s="73">
        <v>2175</v>
      </c>
      <c r="U7" s="73">
        <v>2101</v>
      </c>
      <c r="V7" s="73">
        <v>2179</v>
      </c>
      <c r="W7" s="73">
        <v>2223</v>
      </c>
      <c r="X7" s="73">
        <v>2381</v>
      </c>
      <c r="Y7" s="73">
        <v>2654</v>
      </c>
      <c r="Z7" s="73">
        <v>2972</v>
      </c>
      <c r="AA7" s="73"/>
    </row>
    <row r="8" spans="1:27" ht="22.5" customHeight="1">
      <c r="A8" s="10" t="s">
        <v>212</v>
      </c>
      <c r="B8" s="16" t="s">
        <v>208</v>
      </c>
      <c r="C8" s="73">
        <v>148</v>
      </c>
      <c r="D8" s="73">
        <v>173</v>
      </c>
      <c r="E8" s="73">
        <v>201</v>
      </c>
      <c r="F8" s="73">
        <v>241</v>
      </c>
      <c r="G8" s="73">
        <v>289</v>
      </c>
      <c r="H8" s="73">
        <v>273</v>
      </c>
      <c r="I8" s="73">
        <v>388</v>
      </c>
      <c r="J8" s="73">
        <v>426</v>
      </c>
      <c r="K8" s="73">
        <v>423</v>
      </c>
      <c r="L8" s="73">
        <v>412</v>
      </c>
      <c r="M8" s="73">
        <v>487</v>
      </c>
      <c r="N8" s="73">
        <v>455</v>
      </c>
      <c r="O8" s="73">
        <v>482</v>
      </c>
      <c r="P8" s="73">
        <v>602</v>
      </c>
      <c r="Q8" s="73">
        <v>775</v>
      </c>
      <c r="R8" s="73">
        <v>774</v>
      </c>
      <c r="S8" s="73">
        <v>868</v>
      </c>
      <c r="T8" s="73">
        <v>892</v>
      </c>
      <c r="U8" s="73">
        <v>1087</v>
      </c>
      <c r="V8" s="73">
        <v>999</v>
      </c>
      <c r="W8" s="73">
        <v>1101</v>
      </c>
      <c r="X8" s="73">
        <v>1250</v>
      </c>
      <c r="Y8" s="73">
        <v>1351</v>
      </c>
      <c r="Z8" s="73">
        <v>1548</v>
      </c>
      <c r="AA8" s="73"/>
    </row>
    <row r="9" spans="1:27">
      <c r="A9" t="s">
        <v>153</v>
      </c>
    </row>
    <row r="10" spans="1:27" ht="32.549999999999997" customHeight="1">
      <c r="A10" s="1" t="s">
        <v>38</v>
      </c>
    </row>
    <row r="11" spans="1:27">
      <c r="A11" t="s">
        <v>51</v>
      </c>
      <c r="B11" s="28" t="s">
        <v>214</v>
      </c>
    </row>
    <row r="12" spans="1:27">
      <c r="A12" t="s">
        <v>52</v>
      </c>
      <c r="B12" s="28" t="s">
        <v>215</v>
      </c>
    </row>
    <row r="13" spans="1:27">
      <c r="A13" t="s">
        <v>53</v>
      </c>
      <c r="B13" s="28" t="s">
        <v>216</v>
      </c>
    </row>
    <row r="14" spans="1:27">
      <c r="A14" t="s">
        <v>54</v>
      </c>
      <c r="B14" s="28" t="s">
        <v>217</v>
      </c>
    </row>
    <row r="15" spans="1:27">
      <c r="A15" t="s">
        <v>55</v>
      </c>
      <c r="B15" s="28" t="s">
        <v>184</v>
      </c>
    </row>
    <row r="16" spans="1:27">
      <c r="A16" t="s">
        <v>56</v>
      </c>
      <c r="B16" s="28" t="s">
        <v>43</v>
      </c>
    </row>
    <row r="17" spans="1:2">
      <c r="A17" t="s">
        <v>332</v>
      </c>
      <c r="B17" s="29" t="s">
        <v>44</v>
      </c>
    </row>
    <row r="18" spans="1:2">
      <c r="A18" t="s">
        <v>57</v>
      </c>
      <c r="B18" s="28" t="s">
        <v>218</v>
      </c>
    </row>
    <row r="19" spans="1:2">
      <c r="A19" t="s">
        <v>58</v>
      </c>
      <c r="B19" s="28" t="s">
        <v>219</v>
      </c>
    </row>
    <row r="20" spans="1:2">
      <c r="A20" t="s">
        <v>59</v>
      </c>
      <c r="B20" s="28" t="s">
        <v>220</v>
      </c>
    </row>
    <row r="21" spans="1:2">
      <c r="A21" t="s">
        <v>60</v>
      </c>
      <c r="B21" s="18" t="s">
        <v>50</v>
      </c>
    </row>
  </sheetData>
  <phoneticPr fontId="9" type="noConversion"/>
  <hyperlinks>
    <hyperlink ref="B17" r:id="rId1" xr:uid="{E9CB583A-A534-46B0-B475-19742E9CB4AB}"/>
  </hyperlinks>
  <pageMargins left="0.7" right="0.7" top="0.75" bottom="0.75" header="0.3" footer="0.3"/>
  <pageSetup paperSize="9" orientation="portrait" r:id="rId2"/>
  <tableParts count="1">
    <tablePart r:id="rId3"/>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1ABFF-4127-468E-84F8-1770816711FA}">
  <sheetPr>
    <tabColor rgb="FF00B050"/>
  </sheetPr>
  <dimension ref="A1:Z22"/>
  <sheetViews>
    <sheetView showGridLines="0" zoomScale="70" zoomScaleNormal="70" workbookViewId="0"/>
  </sheetViews>
  <sheetFormatPr defaultRowHeight="15"/>
  <cols>
    <col min="1" max="1" width="13.83203125" customWidth="1"/>
    <col min="2" max="2" width="59" customWidth="1"/>
  </cols>
  <sheetData>
    <row r="1" spans="1:26" ht="17.649999999999999">
      <c r="A1" s="12" t="s">
        <v>389</v>
      </c>
    </row>
    <row r="2" spans="1:26">
      <c r="A2" s="11" t="s">
        <v>159</v>
      </c>
    </row>
    <row r="3" spans="1:26" ht="31.5" customHeight="1">
      <c r="A3" s="11" t="s">
        <v>64</v>
      </c>
      <c r="C3" s="11"/>
    </row>
    <row r="4" spans="1:26" s="9" customFormat="1" ht="46.5" customHeight="1" thickBot="1">
      <c r="A4" s="31" t="s">
        <v>213</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ht="21" customHeight="1">
      <c r="A5" s="2" t="s">
        <v>209</v>
      </c>
      <c r="B5" s="15" t="s">
        <v>205</v>
      </c>
      <c r="C5" s="73">
        <v>4378</v>
      </c>
      <c r="D5" s="73">
        <v>5388</v>
      </c>
      <c r="E5" s="73">
        <v>5549</v>
      </c>
      <c r="F5" s="73">
        <v>4245</v>
      </c>
      <c r="G5" s="73">
        <v>5957</v>
      </c>
      <c r="H5" s="73">
        <v>5864</v>
      </c>
      <c r="I5" s="73">
        <v>6717</v>
      </c>
      <c r="J5" s="73">
        <v>6236</v>
      </c>
      <c r="K5" s="73">
        <v>8283</v>
      </c>
      <c r="L5" s="73">
        <v>8518</v>
      </c>
      <c r="M5" s="73">
        <v>10694</v>
      </c>
      <c r="N5" s="73">
        <v>9609</v>
      </c>
      <c r="O5" s="73">
        <v>10460</v>
      </c>
      <c r="P5" s="73">
        <v>7650</v>
      </c>
      <c r="Q5" s="73">
        <v>5684</v>
      </c>
      <c r="R5" s="73">
        <v>5540</v>
      </c>
      <c r="S5" s="73">
        <v>5451</v>
      </c>
      <c r="T5" s="73">
        <v>5919</v>
      </c>
      <c r="U5" s="73">
        <v>6557</v>
      </c>
      <c r="V5" s="73">
        <v>6407</v>
      </c>
      <c r="W5" s="73">
        <v>6977</v>
      </c>
      <c r="X5" s="73">
        <v>7487</v>
      </c>
      <c r="Y5" s="73">
        <v>7725</v>
      </c>
      <c r="Z5" s="73">
        <v>9328</v>
      </c>
    </row>
    <row r="6" spans="1:26" ht="20" customHeight="1">
      <c r="A6" s="10" t="s">
        <v>210</v>
      </c>
      <c r="B6" s="16" t="s">
        <v>206</v>
      </c>
      <c r="C6" s="73">
        <v>2955</v>
      </c>
      <c r="D6" s="73">
        <v>3886</v>
      </c>
      <c r="E6" s="73">
        <v>3885</v>
      </c>
      <c r="F6" s="73">
        <v>2859</v>
      </c>
      <c r="G6" s="73">
        <v>3963</v>
      </c>
      <c r="H6" s="73">
        <v>3886</v>
      </c>
      <c r="I6" s="73">
        <v>4374</v>
      </c>
      <c r="J6" s="73">
        <v>3969</v>
      </c>
      <c r="K6" s="73">
        <v>6229</v>
      </c>
      <c r="L6" s="73">
        <v>6525</v>
      </c>
      <c r="M6" s="73">
        <v>8997</v>
      </c>
      <c r="N6" s="73">
        <v>8176</v>
      </c>
      <c r="O6" s="73">
        <v>8912</v>
      </c>
      <c r="P6" s="73">
        <v>5022</v>
      </c>
      <c r="Q6" s="73">
        <v>2605</v>
      </c>
      <c r="R6" s="73">
        <v>2422</v>
      </c>
      <c r="S6" s="73">
        <v>2306</v>
      </c>
      <c r="T6" s="73">
        <v>2423</v>
      </c>
      <c r="U6" s="73">
        <v>2941</v>
      </c>
      <c r="V6" s="73">
        <v>2870</v>
      </c>
      <c r="W6" s="73">
        <v>3343</v>
      </c>
      <c r="X6" s="73">
        <v>3594</v>
      </c>
      <c r="Y6" s="73">
        <v>3516</v>
      </c>
      <c r="Z6" s="73">
        <v>4808</v>
      </c>
    </row>
    <row r="7" spans="1:26" ht="20.55" customHeight="1">
      <c r="A7" s="10" t="s">
        <v>211</v>
      </c>
      <c r="B7" s="16" t="s">
        <v>207</v>
      </c>
      <c r="C7" s="73">
        <v>1182</v>
      </c>
      <c r="D7" s="73">
        <v>1224</v>
      </c>
      <c r="E7" s="73">
        <v>1345</v>
      </c>
      <c r="F7" s="73">
        <v>1010</v>
      </c>
      <c r="G7" s="73">
        <v>1552</v>
      </c>
      <c r="H7" s="73">
        <v>1569</v>
      </c>
      <c r="I7" s="73">
        <v>1776</v>
      </c>
      <c r="J7" s="73">
        <v>1660</v>
      </c>
      <c r="K7" s="73">
        <v>1469</v>
      </c>
      <c r="L7" s="73">
        <v>1440</v>
      </c>
      <c r="M7" s="73">
        <v>1061</v>
      </c>
      <c r="N7" s="73">
        <v>857</v>
      </c>
      <c r="O7" s="73">
        <v>947</v>
      </c>
      <c r="P7" s="73">
        <v>1888</v>
      </c>
      <c r="Q7" s="73">
        <v>2147</v>
      </c>
      <c r="R7" s="73">
        <v>2201</v>
      </c>
      <c r="S7" s="73">
        <v>2138</v>
      </c>
      <c r="T7" s="73">
        <v>2479</v>
      </c>
      <c r="U7" s="73">
        <v>2384</v>
      </c>
      <c r="V7" s="73">
        <v>2426</v>
      </c>
      <c r="W7" s="73">
        <v>2430</v>
      </c>
      <c r="X7" s="73">
        <v>2552</v>
      </c>
      <c r="Y7" s="73">
        <v>2789</v>
      </c>
      <c r="Z7" s="73">
        <v>2972</v>
      </c>
    </row>
    <row r="8" spans="1:26" ht="22.5" customHeight="1">
      <c r="A8" s="10" t="s">
        <v>212</v>
      </c>
      <c r="B8" s="16" t="s">
        <v>208</v>
      </c>
      <c r="C8" s="73">
        <v>242</v>
      </c>
      <c r="D8" s="73">
        <v>278</v>
      </c>
      <c r="E8" s="73">
        <v>319</v>
      </c>
      <c r="F8" s="73">
        <v>376</v>
      </c>
      <c r="G8" s="73">
        <v>443</v>
      </c>
      <c r="H8" s="73">
        <v>410</v>
      </c>
      <c r="I8" s="73">
        <v>567</v>
      </c>
      <c r="J8" s="73">
        <v>607</v>
      </c>
      <c r="K8" s="73">
        <v>584</v>
      </c>
      <c r="L8" s="73">
        <v>553</v>
      </c>
      <c r="M8" s="73">
        <v>637</v>
      </c>
      <c r="N8" s="73">
        <v>576</v>
      </c>
      <c r="O8" s="73">
        <v>600</v>
      </c>
      <c r="P8" s="73">
        <v>739</v>
      </c>
      <c r="Q8" s="73">
        <v>932</v>
      </c>
      <c r="R8" s="73">
        <v>916</v>
      </c>
      <c r="S8" s="73">
        <v>1006</v>
      </c>
      <c r="T8" s="73">
        <v>1017</v>
      </c>
      <c r="U8" s="73">
        <v>1233</v>
      </c>
      <c r="V8" s="73">
        <v>1112</v>
      </c>
      <c r="W8" s="73">
        <v>1204</v>
      </c>
      <c r="X8" s="73">
        <v>1340</v>
      </c>
      <c r="Y8" s="73">
        <v>1420</v>
      </c>
      <c r="Z8" s="73">
        <v>1548</v>
      </c>
    </row>
    <row r="9" spans="1:26">
      <c r="A9" t="s">
        <v>153</v>
      </c>
    </row>
    <row r="10" spans="1:26" ht="32.549999999999997" customHeight="1">
      <c r="A10" s="1" t="s">
        <v>38</v>
      </c>
    </row>
    <row r="11" spans="1:26">
      <c r="A11" t="s">
        <v>51</v>
      </c>
      <c r="B11" s="28" t="s">
        <v>214</v>
      </c>
      <c r="C11" s="28"/>
      <c r="D11" s="28"/>
      <c r="E11" s="28"/>
      <c r="F11" s="28"/>
      <c r="G11" s="28"/>
      <c r="H11" s="28"/>
      <c r="I11" s="28"/>
      <c r="J11" s="28"/>
      <c r="K11" s="28"/>
      <c r="L11" s="28"/>
      <c r="M11" s="34"/>
      <c r="N11" s="34"/>
      <c r="O11" s="34"/>
      <c r="P11" s="34"/>
      <c r="Q11" s="34"/>
      <c r="R11" s="34"/>
      <c r="S11" s="34"/>
      <c r="T11" s="11"/>
      <c r="U11" s="11"/>
      <c r="V11" s="11"/>
    </row>
    <row r="12" spans="1:26">
      <c r="A12" t="s">
        <v>52</v>
      </c>
      <c r="B12" s="28" t="s">
        <v>215</v>
      </c>
      <c r="C12" s="28"/>
      <c r="D12" s="28"/>
      <c r="E12" s="28"/>
      <c r="F12" s="28"/>
      <c r="G12" s="28"/>
      <c r="H12" s="28"/>
      <c r="I12" s="28"/>
      <c r="J12" s="28"/>
      <c r="K12" s="28"/>
      <c r="L12" s="28"/>
      <c r="M12" s="11"/>
      <c r="N12" s="11"/>
      <c r="O12" s="11"/>
      <c r="P12" s="11"/>
      <c r="Q12" s="11"/>
      <c r="R12" s="11"/>
      <c r="S12" s="11"/>
      <c r="T12" s="11"/>
      <c r="U12" s="11"/>
      <c r="V12" s="11"/>
    </row>
    <row r="13" spans="1:26">
      <c r="A13" t="s">
        <v>53</v>
      </c>
      <c r="B13" s="28" t="s">
        <v>216</v>
      </c>
      <c r="C13" s="28"/>
      <c r="D13" s="28"/>
      <c r="E13" s="28"/>
      <c r="F13" s="28"/>
      <c r="G13" s="28"/>
      <c r="H13" s="28"/>
      <c r="I13" s="28"/>
      <c r="J13" s="28"/>
      <c r="K13" s="28"/>
      <c r="L13" s="28"/>
      <c r="M13" s="11"/>
      <c r="N13" s="11"/>
      <c r="O13" s="11"/>
      <c r="P13" s="11"/>
      <c r="Q13" s="11"/>
      <c r="R13" s="11"/>
      <c r="S13" s="11"/>
      <c r="T13" s="11"/>
      <c r="U13" s="11"/>
      <c r="V13" s="11"/>
    </row>
    <row r="14" spans="1:26">
      <c r="A14" t="s">
        <v>54</v>
      </c>
      <c r="B14" s="28" t="s">
        <v>217</v>
      </c>
      <c r="C14" s="28"/>
      <c r="D14" s="28"/>
      <c r="E14" s="28"/>
      <c r="F14" s="28"/>
      <c r="G14" s="28"/>
      <c r="H14" s="28"/>
      <c r="I14" s="28"/>
      <c r="J14" s="28"/>
      <c r="K14" s="28"/>
      <c r="L14" s="28"/>
      <c r="M14" s="11"/>
      <c r="N14" s="11"/>
      <c r="O14" s="11"/>
      <c r="P14" s="11"/>
      <c r="Q14" s="11"/>
      <c r="R14" s="11"/>
      <c r="S14" s="11"/>
      <c r="T14" s="11"/>
      <c r="U14" s="11"/>
      <c r="V14" s="11"/>
    </row>
    <row r="15" spans="1:26">
      <c r="A15" t="s">
        <v>55</v>
      </c>
      <c r="B15" s="18" t="s">
        <v>323</v>
      </c>
      <c r="C15" s="18"/>
      <c r="D15" s="18"/>
      <c r="E15" s="18"/>
      <c r="F15" s="18"/>
      <c r="G15" s="18"/>
      <c r="H15" s="18"/>
      <c r="I15" s="18"/>
      <c r="J15" s="18"/>
      <c r="K15" s="18"/>
      <c r="L15" s="18"/>
      <c r="M15" s="18"/>
      <c r="N15" s="18"/>
      <c r="O15" s="18"/>
      <c r="P15" s="18"/>
      <c r="Q15" s="18"/>
      <c r="R15" s="18"/>
      <c r="S15" s="18"/>
      <c r="T15" s="18"/>
      <c r="U15" s="18"/>
      <c r="V15" s="18"/>
    </row>
    <row r="16" spans="1:26">
      <c r="A16" t="s">
        <v>330</v>
      </c>
      <c r="B16" s="93" t="s">
        <v>192</v>
      </c>
      <c r="C16" s="93"/>
      <c r="D16" s="93"/>
      <c r="E16" s="93"/>
      <c r="F16" s="93"/>
      <c r="G16" s="93"/>
      <c r="H16" s="93"/>
      <c r="I16" s="93"/>
      <c r="J16" s="93"/>
      <c r="K16" s="93"/>
      <c r="L16" s="93"/>
      <c r="M16" s="93"/>
      <c r="N16" s="93"/>
      <c r="O16" s="93"/>
      <c r="P16" s="93"/>
      <c r="Q16" s="93"/>
      <c r="R16" s="93"/>
      <c r="S16" s="93"/>
      <c r="T16" s="93"/>
      <c r="U16" s="93"/>
      <c r="V16" s="93"/>
    </row>
    <row r="17" spans="1:22">
      <c r="A17" t="s">
        <v>56</v>
      </c>
      <c r="B17" s="28" t="s">
        <v>43</v>
      </c>
      <c r="C17" s="29"/>
      <c r="D17" s="29"/>
      <c r="E17" s="29"/>
      <c r="F17" s="29"/>
      <c r="G17" s="29"/>
      <c r="H17" s="29"/>
      <c r="I17" s="29"/>
      <c r="J17" s="29"/>
      <c r="K17" s="29"/>
      <c r="L17" s="29"/>
      <c r="M17" s="11"/>
      <c r="N17" s="11"/>
      <c r="O17" s="11"/>
      <c r="P17" s="11"/>
      <c r="Q17" s="11"/>
      <c r="R17" s="11"/>
      <c r="S17" s="11"/>
      <c r="T17" s="11"/>
      <c r="U17" s="11"/>
      <c r="V17" s="11"/>
    </row>
    <row r="18" spans="1:22">
      <c r="A18" t="s">
        <v>332</v>
      </c>
      <c r="B18" s="29" t="s">
        <v>44</v>
      </c>
      <c r="C18" s="28"/>
      <c r="D18" s="28"/>
      <c r="E18" s="28"/>
      <c r="F18" s="28"/>
      <c r="G18" s="28"/>
      <c r="H18" s="28"/>
      <c r="I18" s="28"/>
      <c r="J18" s="28"/>
      <c r="K18" s="28"/>
      <c r="L18" s="28"/>
      <c r="M18" s="11"/>
      <c r="N18" s="11"/>
      <c r="O18" s="11"/>
      <c r="P18" s="11"/>
      <c r="Q18" s="11"/>
      <c r="R18" s="11"/>
      <c r="S18" s="11"/>
      <c r="T18" s="11"/>
      <c r="U18" s="11"/>
      <c r="V18" s="11"/>
    </row>
    <row r="19" spans="1:22">
      <c r="A19" t="s">
        <v>57</v>
      </c>
      <c r="B19" s="28" t="s">
        <v>218</v>
      </c>
      <c r="C19" s="28"/>
      <c r="D19" s="28"/>
      <c r="E19" s="28"/>
      <c r="F19" s="28"/>
      <c r="G19" s="28"/>
      <c r="H19" s="28"/>
      <c r="I19" s="28"/>
      <c r="J19" s="28"/>
      <c r="K19" s="28"/>
      <c r="L19" s="28"/>
      <c r="M19" s="11"/>
      <c r="N19" s="11"/>
      <c r="O19" s="11"/>
      <c r="P19" s="11"/>
      <c r="Q19" s="11"/>
      <c r="R19" s="11"/>
      <c r="S19" s="11"/>
      <c r="T19" s="11"/>
      <c r="U19" s="11"/>
      <c r="V19" s="11"/>
    </row>
    <row r="20" spans="1:22">
      <c r="A20" t="s">
        <v>58</v>
      </c>
      <c r="B20" s="28" t="s">
        <v>219</v>
      </c>
      <c r="C20" s="28"/>
      <c r="D20" s="28"/>
      <c r="E20" s="28"/>
      <c r="F20" s="28"/>
      <c r="G20" s="28"/>
      <c r="H20" s="28"/>
      <c r="I20" s="28"/>
      <c r="J20" s="28"/>
      <c r="K20" s="28"/>
      <c r="L20" s="28"/>
      <c r="M20" s="11"/>
      <c r="N20" s="11"/>
      <c r="O20" s="11"/>
      <c r="P20" s="11"/>
      <c r="Q20" s="11"/>
      <c r="R20" s="11"/>
      <c r="S20" s="11"/>
      <c r="T20" s="11"/>
      <c r="U20" s="11"/>
      <c r="V20" s="11"/>
    </row>
    <row r="21" spans="1:22">
      <c r="A21" t="s">
        <v>59</v>
      </c>
      <c r="B21" s="28" t="s">
        <v>220</v>
      </c>
      <c r="C21" s="18"/>
      <c r="D21" s="18"/>
      <c r="E21" s="18"/>
      <c r="F21" s="18"/>
      <c r="G21" s="18"/>
      <c r="H21" s="18"/>
      <c r="I21" s="18"/>
      <c r="J21" s="18"/>
      <c r="K21" s="18"/>
      <c r="L21" s="18"/>
      <c r="M21" s="11"/>
      <c r="N21" s="11"/>
      <c r="O21" s="11"/>
      <c r="P21" s="11"/>
      <c r="Q21" s="11"/>
      <c r="R21" s="11"/>
      <c r="S21" s="11"/>
      <c r="T21" s="11"/>
      <c r="U21" s="11"/>
      <c r="V21" s="11"/>
    </row>
    <row r="22" spans="1:22" ht="17.25">
      <c r="A22" t="s">
        <v>60</v>
      </c>
      <c r="B22" s="18" t="s">
        <v>50</v>
      </c>
      <c r="C22" s="35"/>
      <c r="D22" s="11"/>
      <c r="E22" s="11"/>
      <c r="F22" s="11"/>
      <c r="G22" s="11"/>
      <c r="H22" s="11"/>
      <c r="I22" s="11"/>
      <c r="J22" s="11"/>
      <c r="K22" s="11"/>
      <c r="L22" s="11"/>
      <c r="M22" s="11"/>
      <c r="N22" s="11"/>
      <c r="O22" s="11"/>
      <c r="P22" s="11"/>
      <c r="Q22" s="11"/>
      <c r="R22" s="11"/>
      <c r="S22" s="11"/>
      <c r="T22" s="11"/>
      <c r="U22" s="11"/>
      <c r="V22" s="11"/>
    </row>
  </sheetData>
  <mergeCells count="1">
    <mergeCell ref="B16:V16"/>
  </mergeCells>
  <hyperlinks>
    <hyperlink ref="B18" r:id="rId1" xr:uid="{15872618-48DD-459E-AAB1-A3FA5E5DE710}"/>
    <hyperlink ref="B16" r:id="rId2" xr:uid="{E3E91E86-E7D2-4DAB-91FB-ACF2CBD13FCD}"/>
  </hyperlinks>
  <pageMargins left="0.7" right="0.7" top="0.75" bottom="0.75" header="0.3" footer="0.3"/>
  <pageSetup paperSize="9" orientation="portrait" r:id="rId3"/>
  <tableParts count="1">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A1CA3-DB2C-4919-A193-EBF8C04FA834}">
  <sheetPr>
    <tabColor theme="2" tint="-0.249977111117893"/>
  </sheetPr>
  <dimension ref="A1:Y27"/>
  <sheetViews>
    <sheetView showGridLines="0" zoomScale="70" zoomScaleNormal="70" workbookViewId="0"/>
  </sheetViews>
  <sheetFormatPr defaultRowHeight="15"/>
  <cols>
    <col min="1" max="1" width="13.83203125" customWidth="1"/>
    <col min="2" max="2" width="59" customWidth="1"/>
  </cols>
  <sheetData>
    <row r="1" spans="1:25" ht="17.649999999999999">
      <c r="A1" s="12" t="s">
        <v>338</v>
      </c>
    </row>
    <row r="2" spans="1:25">
      <c r="A2" s="11" t="s">
        <v>159</v>
      </c>
    </row>
    <row r="3" spans="1:25" ht="31.5" customHeight="1">
      <c r="A3" s="11" t="s">
        <v>64</v>
      </c>
      <c r="C3" s="11"/>
    </row>
    <row r="4" spans="1:25" s="9" customFormat="1" ht="46.5" customHeight="1" thickBot="1">
      <c r="A4" s="7" t="s">
        <v>213</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row>
    <row r="5" spans="1:25">
      <c r="A5" s="4" t="s">
        <v>0</v>
      </c>
      <c r="B5" s="43" t="s">
        <v>6</v>
      </c>
      <c r="C5" s="73">
        <v>233</v>
      </c>
      <c r="D5" s="73">
        <v>353</v>
      </c>
      <c r="E5" s="73">
        <v>551</v>
      </c>
      <c r="F5" s="73">
        <v>142</v>
      </c>
      <c r="G5" s="73">
        <v>-1723</v>
      </c>
      <c r="H5" s="73">
        <v>-2643</v>
      </c>
      <c r="I5" s="73">
        <v>-177</v>
      </c>
      <c r="J5" s="73">
        <v>-383</v>
      </c>
      <c r="K5" s="73">
        <v>-184</v>
      </c>
      <c r="L5" s="73">
        <v>798</v>
      </c>
      <c r="M5" s="73">
        <v>-2271</v>
      </c>
      <c r="N5" s="73">
        <v>192</v>
      </c>
      <c r="O5" s="73">
        <v>3232</v>
      </c>
      <c r="P5" s="73">
        <v>2482</v>
      </c>
      <c r="Q5" s="73">
        <v>2049</v>
      </c>
      <c r="R5" s="73">
        <v>1263</v>
      </c>
      <c r="S5" s="73">
        <v>-1126</v>
      </c>
      <c r="T5" s="73">
        <v>-1009</v>
      </c>
      <c r="U5" s="73">
        <v>-1286</v>
      </c>
      <c r="V5" s="73">
        <v>-1422</v>
      </c>
      <c r="W5" s="73">
        <v>-1828</v>
      </c>
      <c r="X5" s="73">
        <v>-2115</v>
      </c>
      <c r="Y5" s="73">
        <v>-2490</v>
      </c>
    </row>
    <row r="6" spans="1:25">
      <c r="A6" s="3" t="s">
        <v>1</v>
      </c>
      <c r="B6" s="39" t="s">
        <v>372</v>
      </c>
      <c r="C6" s="73">
        <v>0</v>
      </c>
      <c r="D6" s="73">
        <v>0</v>
      </c>
      <c r="E6" s="73">
        <v>0</v>
      </c>
      <c r="F6" s="73">
        <v>0</v>
      </c>
      <c r="G6" s="73">
        <v>0</v>
      </c>
      <c r="H6" s="73">
        <v>0</v>
      </c>
      <c r="I6" s="73">
        <v>0</v>
      </c>
      <c r="J6" s="73">
        <v>0</v>
      </c>
      <c r="K6" s="73">
        <v>0</v>
      </c>
      <c r="L6" s="73">
        <v>0</v>
      </c>
      <c r="M6" s="73">
        <v>0</v>
      </c>
      <c r="N6" s="73">
        <v>0</v>
      </c>
      <c r="O6" s="73">
        <v>0</v>
      </c>
      <c r="P6" s="73">
        <v>0</v>
      </c>
      <c r="Q6" s="73">
        <v>0</v>
      </c>
      <c r="R6" s="73">
        <v>0</v>
      </c>
      <c r="S6" s="73">
        <v>0</v>
      </c>
      <c r="T6" s="73">
        <v>-2</v>
      </c>
      <c r="U6" s="73">
        <v>-317</v>
      </c>
      <c r="V6" s="73">
        <v>-3</v>
      </c>
      <c r="W6" s="73">
        <v>-2</v>
      </c>
      <c r="X6" s="73">
        <v>-3</v>
      </c>
      <c r="Y6" s="73">
        <v>-76</v>
      </c>
    </row>
    <row r="7" spans="1:25">
      <c r="A7" s="3" t="s">
        <v>2</v>
      </c>
      <c r="B7" s="39" t="s">
        <v>373</v>
      </c>
      <c r="C7" s="73">
        <v>0</v>
      </c>
      <c r="D7" s="73">
        <v>0</v>
      </c>
      <c r="E7" s="73">
        <v>0</v>
      </c>
      <c r="F7" s="73">
        <v>0</v>
      </c>
      <c r="G7" s="73">
        <v>0</v>
      </c>
      <c r="H7" s="73">
        <v>0</v>
      </c>
      <c r="I7" s="73">
        <v>0</v>
      </c>
      <c r="J7" s="73">
        <v>0</v>
      </c>
      <c r="K7" s="73">
        <v>0</v>
      </c>
      <c r="L7" s="73">
        <v>0</v>
      </c>
      <c r="M7" s="73">
        <v>0</v>
      </c>
      <c r="N7" s="73">
        <v>0</v>
      </c>
      <c r="O7" s="73">
        <v>0</v>
      </c>
      <c r="P7" s="73">
        <v>0</v>
      </c>
      <c r="Q7" s="73">
        <v>0</v>
      </c>
      <c r="R7" s="73">
        <v>0</v>
      </c>
      <c r="S7" s="73">
        <v>0</v>
      </c>
      <c r="T7" s="73">
        <v>0</v>
      </c>
      <c r="U7" s="73">
        <v>0</v>
      </c>
      <c r="V7" s="73">
        <v>0</v>
      </c>
      <c r="W7" s="73">
        <v>0</v>
      </c>
      <c r="X7" s="73">
        <v>0</v>
      </c>
      <c r="Y7" s="73">
        <v>5</v>
      </c>
    </row>
    <row r="8" spans="1:25">
      <c r="A8" s="3" t="s">
        <v>3</v>
      </c>
      <c r="B8" s="39" t="s">
        <v>374</v>
      </c>
      <c r="C8" s="73">
        <v>-5</v>
      </c>
      <c r="D8" s="73">
        <v>-3</v>
      </c>
      <c r="E8" s="73">
        <v>-5</v>
      </c>
      <c r="F8" s="73">
        <v>-3</v>
      </c>
      <c r="G8" s="73">
        <v>-2</v>
      </c>
      <c r="H8" s="73">
        <v>-3</v>
      </c>
      <c r="I8" s="73">
        <v>-7</v>
      </c>
      <c r="J8" s="73">
        <v>-6</v>
      </c>
      <c r="K8" s="73">
        <v>-4</v>
      </c>
      <c r="L8" s="73">
        <v>-3</v>
      </c>
      <c r="M8" s="73">
        <v>-3</v>
      </c>
      <c r="N8" s="73">
        <v>-6</v>
      </c>
      <c r="O8" s="73">
        <v>-6</v>
      </c>
      <c r="P8" s="73">
        <v>-2</v>
      </c>
      <c r="Q8" s="73">
        <v>-4</v>
      </c>
      <c r="R8" s="73">
        <v>0</v>
      </c>
      <c r="S8" s="73">
        <v>2</v>
      </c>
      <c r="T8" s="73">
        <v>1</v>
      </c>
      <c r="U8" s="73">
        <v>0</v>
      </c>
      <c r="V8" s="73">
        <v>-4</v>
      </c>
      <c r="W8" s="73">
        <v>-77</v>
      </c>
      <c r="X8" s="73">
        <v>-414</v>
      </c>
      <c r="Y8" s="73">
        <v>-495</v>
      </c>
    </row>
    <row r="9" spans="1:25">
      <c r="A9" s="3" t="s">
        <v>4</v>
      </c>
      <c r="B9" s="39" t="s">
        <v>375</v>
      </c>
      <c r="C9" s="73">
        <v>-54</v>
      </c>
      <c r="D9" s="73">
        <v>-48</v>
      </c>
      <c r="E9" s="73">
        <v>-56</v>
      </c>
      <c r="F9" s="73">
        <v>-70</v>
      </c>
      <c r="G9" s="73">
        <v>-70</v>
      </c>
      <c r="H9" s="73">
        <v>-58</v>
      </c>
      <c r="I9" s="73">
        <v>-61</v>
      </c>
      <c r="J9" s="73">
        <v>-66</v>
      </c>
      <c r="K9" s="73">
        <v>-68</v>
      </c>
      <c r="L9" s="73">
        <v>-51</v>
      </c>
      <c r="M9" s="73">
        <v>-76</v>
      </c>
      <c r="N9" s="73">
        <v>-60</v>
      </c>
      <c r="O9" s="73">
        <v>-67</v>
      </c>
      <c r="P9" s="73">
        <v>-68</v>
      </c>
      <c r="Q9" s="73">
        <v>-64</v>
      </c>
      <c r="R9" s="73">
        <v>-75</v>
      </c>
      <c r="S9" s="73">
        <v>-91</v>
      </c>
      <c r="T9" s="73">
        <v>-89</v>
      </c>
      <c r="U9" s="73">
        <v>-98</v>
      </c>
      <c r="V9" s="73">
        <v>-137</v>
      </c>
      <c r="W9" s="73">
        <v>-180</v>
      </c>
      <c r="X9" s="73">
        <v>-186</v>
      </c>
      <c r="Y9" s="73">
        <v>-217</v>
      </c>
    </row>
    <row r="10" spans="1:25">
      <c r="A10" s="3" t="s">
        <v>5</v>
      </c>
      <c r="B10" s="39" t="s">
        <v>376</v>
      </c>
      <c r="C10" s="73">
        <v>292</v>
      </c>
      <c r="D10" s="73">
        <v>405</v>
      </c>
      <c r="E10" s="73">
        <v>612</v>
      </c>
      <c r="F10" s="73">
        <v>214</v>
      </c>
      <c r="G10" s="73">
        <v>-1651</v>
      </c>
      <c r="H10" s="73">
        <v>-2582</v>
      </c>
      <c r="I10" s="73">
        <v>-109</v>
      </c>
      <c r="J10" s="73">
        <v>-311</v>
      </c>
      <c r="K10" s="73">
        <v>-113</v>
      </c>
      <c r="L10" s="73">
        <v>852</v>
      </c>
      <c r="M10" s="73">
        <v>-2192</v>
      </c>
      <c r="N10" s="73">
        <v>258</v>
      </c>
      <c r="O10" s="73">
        <v>3304</v>
      </c>
      <c r="P10" s="73">
        <v>2553</v>
      </c>
      <c r="Q10" s="73">
        <v>2116</v>
      </c>
      <c r="R10" s="73">
        <v>1338</v>
      </c>
      <c r="S10" s="73">
        <v>-1038</v>
      </c>
      <c r="T10" s="73">
        <v>-919</v>
      </c>
      <c r="U10" s="73">
        <v>-870</v>
      </c>
      <c r="V10" s="73">
        <v>-1278</v>
      </c>
      <c r="W10" s="73">
        <v>-1569</v>
      </c>
      <c r="X10" s="73">
        <v>-1512</v>
      </c>
      <c r="Y10" s="73">
        <v>-1708</v>
      </c>
    </row>
    <row r="11" spans="1:25">
      <c r="A11" t="s">
        <v>153</v>
      </c>
    </row>
    <row r="12" spans="1:25" ht="32.549999999999997" customHeight="1">
      <c r="A12" s="1" t="s">
        <v>38</v>
      </c>
    </row>
    <row r="13" spans="1:25">
      <c r="A13" t="s">
        <v>51</v>
      </c>
      <c r="B13" s="18" t="s">
        <v>337</v>
      </c>
    </row>
    <row r="14" spans="1:25">
      <c r="A14" t="s">
        <v>52</v>
      </c>
      <c r="B14" s="18" t="s">
        <v>183</v>
      </c>
    </row>
    <row r="15" spans="1:25">
      <c r="A15" t="s">
        <v>53</v>
      </c>
      <c r="B15" s="18" t="s">
        <v>40</v>
      </c>
    </row>
    <row r="16" spans="1:25">
      <c r="A16" t="s">
        <v>328</v>
      </c>
      <c r="B16" s="19" t="s">
        <v>41</v>
      </c>
    </row>
    <row r="17" spans="1:2">
      <c r="A17" t="s">
        <v>54</v>
      </c>
      <c r="B17" s="28" t="s">
        <v>184</v>
      </c>
    </row>
    <row r="18" spans="1:2">
      <c r="A18" t="s">
        <v>55</v>
      </c>
      <c r="B18" s="18" t="s">
        <v>334</v>
      </c>
    </row>
    <row r="19" spans="1:2">
      <c r="A19" t="s">
        <v>330</v>
      </c>
      <c r="B19" s="81" t="s">
        <v>336</v>
      </c>
    </row>
    <row r="20" spans="1:2">
      <c r="A20" t="s">
        <v>56</v>
      </c>
      <c r="B20" s="18" t="s">
        <v>43</v>
      </c>
    </row>
    <row r="21" spans="1:2">
      <c r="A21" t="s">
        <v>332</v>
      </c>
      <c r="B21" s="29" t="s">
        <v>44</v>
      </c>
    </row>
    <row r="22" spans="1:2">
      <c r="A22" t="s">
        <v>57</v>
      </c>
      <c r="B22" s="28" t="s">
        <v>45</v>
      </c>
    </row>
    <row r="23" spans="1:2">
      <c r="A23" t="s">
        <v>58</v>
      </c>
      <c r="B23" s="28" t="s">
        <v>46</v>
      </c>
    </row>
    <row r="24" spans="1:2">
      <c r="A24" t="s">
        <v>59</v>
      </c>
      <c r="B24" s="28" t="s">
        <v>47</v>
      </c>
    </row>
    <row r="25" spans="1:2">
      <c r="A25" t="s">
        <v>60</v>
      </c>
      <c r="B25" s="28" t="s">
        <v>48</v>
      </c>
    </row>
    <row r="26" spans="1:2">
      <c r="A26" t="s">
        <v>61</v>
      </c>
      <c r="B26" s="28" t="s">
        <v>49</v>
      </c>
    </row>
    <row r="27" spans="1:2">
      <c r="A27" t="s">
        <v>62</v>
      </c>
      <c r="B27" s="18" t="s">
        <v>50</v>
      </c>
    </row>
  </sheetData>
  <phoneticPr fontId="9" type="noConversion"/>
  <hyperlinks>
    <hyperlink ref="B16" r:id="rId1" display="https://www.ons.gov.uk/peoplepopulationandcommunity/healthandsocialcare/healthcaresystem/methodologies/introductiontohealthaccounts" xr:uid="{E72A87E1-9621-402F-B65D-EB85B8BE34DA}"/>
    <hyperlink ref="B21" r:id="rId2" xr:uid="{625C6642-3CFE-4E30-ADE5-FBCA494ADBF2}"/>
    <hyperlink ref="B19" r:id="rId3" xr:uid="{3DE77AC0-57F8-4697-A57A-55784ACB7294}"/>
  </hyperlinks>
  <pageMargins left="0.7" right="0.7" top="0.75" bottom="0.75" header="0.3" footer="0.3"/>
  <pageSetup paperSize="9" orientation="portrait" r:id="rId4"/>
  <tableParts count="1">
    <tablePart r:id="rId5"/>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D01E9-81C8-495A-A4F8-C12A5A7C7086}">
  <sheetPr>
    <tabColor theme="2" tint="-0.249977111117893"/>
  </sheetPr>
  <dimension ref="A1:Y25"/>
  <sheetViews>
    <sheetView showGridLines="0" zoomScale="70" zoomScaleNormal="70" workbookViewId="0"/>
  </sheetViews>
  <sheetFormatPr defaultRowHeight="15"/>
  <cols>
    <col min="1" max="1" width="13.83203125" customWidth="1"/>
    <col min="2" max="2" width="59" customWidth="1"/>
  </cols>
  <sheetData>
    <row r="1" spans="1:25" ht="17.649999999999999">
      <c r="A1" s="12" t="s">
        <v>379</v>
      </c>
    </row>
    <row r="2" spans="1:25">
      <c r="A2" s="11" t="s">
        <v>159</v>
      </c>
    </row>
    <row r="3" spans="1:25" ht="31.5" customHeight="1">
      <c r="A3" s="11" t="s">
        <v>64</v>
      </c>
      <c r="C3" s="11"/>
    </row>
    <row r="4" spans="1:25" s="9" customFormat="1" ht="46.5" customHeight="1" thickBot="1">
      <c r="A4" s="7" t="s">
        <v>12</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row>
    <row r="5" spans="1:25">
      <c r="A5" s="4" t="s">
        <v>0</v>
      </c>
      <c r="B5" s="43" t="s">
        <v>6</v>
      </c>
      <c r="C5" s="73">
        <v>64977</v>
      </c>
      <c r="D5" s="73">
        <v>69467</v>
      </c>
      <c r="E5" s="73">
        <v>74313</v>
      </c>
      <c r="F5" s="73">
        <v>78853</v>
      </c>
      <c r="G5" s="73">
        <v>86143</v>
      </c>
      <c r="H5" s="73">
        <v>94317</v>
      </c>
      <c r="I5" s="73">
        <v>101907</v>
      </c>
      <c r="J5" s="73">
        <v>110535</v>
      </c>
      <c r="K5" s="73">
        <v>117593</v>
      </c>
      <c r="L5" s="73">
        <v>126602</v>
      </c>
      <c r="M5" s="73">
        <v>135830</v>
      </c>
      <c r="N5" s="73">
        <v>144057</v>
      </c>
      <c r="O5" s="73">
        <v>153007</v>
      </c>
      <c r="P5" s="73">
        <v>157958</v>
      </c>
      <c r="Q5" s="73">
        <v>163499</v>
      </c>
      <c r="R5" s="73">
        <v>169708</v>
      </c>
      <c r="S5" s="73">
        <v>177600</v>
      </c>
      <c r="T5" s="73">
        <v>185377</v>
      </c>
      <c r="U5" s="73">
        <v>190058</v>
      </c>
      <c r="V5" s="73">
        <v>196941</v>
      </c>
      <c r="W5" s="73">
        <v>202901</v>
      </c>
      <c r="X5" s="73">
        <v>212120</v>
      </c>
      <c r="Y5" s="73">
        <v>225195</v>
      </c>
    </row>
    <row r="6" spans="1:25">
      <c r="A6" s="3" t="s">
        <v>1</v>
      </c>
      <c r="B6" s="39" t="s">
        <v>7</v>
      </c>
      <c r="C6" s="73">
        <v>48914</v>
      </c>
      <c r="D6" s="73">
        <v>52542</v>
      </c>
      <c r="E6" s="73">
        <v>56918</v>
      </c>
      <c r="F6" s="73">
        <v>60149</v>
      </c>
      <c r="G6" s="73">
        <v>65521</v>
      </c>
      <c r="H6" s="73">
        <v>72641</v>
      </c>
      <c r="I6" s="73">
        <v>79574</v>
      </c>
      <c r="J6" s="73">
        <v>88147</v>
      </c>
      <c r="K6" s="73">
        <v>95071</v>
      </c>
      <c r="L6" s="73">
        <v>103311</v>
      </c>
      <c r="M6" s="73">
        <v>108618</v>
      </c>
      <c r="N6" s="73">
        <v>116780</v>
      </c>
      <c r="O6" s="73">
        <v>125980</v>
      </c>
      <c r="P6" s="73">
        <v>129068</v>
      </c>
      <c r="Q6" s="73">
        <v>133104</v>
      </c>
      <c r="R6" s="73">
        <v>136962</v>
      </c>
      <c r="S6" s="73">
        <v>140890</v>
      </c>
      <c r="T6" s="73">
        <v>147278</v>
      </c>
      <c r="U6" s="73">
        <v>150848</v>
      </c>
      <c r="V6" s="73">
        <v>156742</v>
      </c>
      <c r="W6" s="73">
        <v>160034</v>
      </c>
      <c r="X6" s="73">
        <v>166517</v>
      </c>
      <c r="Y6" s="73">
        <v>176808</v>
      </c>
    </row>
    <row r="7" spans="1:25">
      <c r="A7" s="3" t="s">
        <v>2</v>
      </c>
      <c r="B7" s="39" t="s">
        <v>8</v>
      </c>
      <c r="C7" s="73">
        <v>2476</v>
      </c>
      <c r="D7" s="73">
        <v>2594</v>
      </c>
      <c r="E7" s="73">
        <v>2776</v>
      </c>
      <c r="F7" s="73">
        <v>3364</v>
      </c>
      <c r="G7" s="73">
        <v>3796</v>
      </c>
      <c r="H7" s="73">
        <v>3983</v>
      </c>
      <c r="I7" s="73">
        <v>4067</v>
      </c>
      <c r="J7" s="73">
        <v>4213</v>
      </c>
      <c r="K7" s="73">
        <v>4666</v>
      </c>
      <c r="L7" s="73">
        <v>4958</v>
      </c>
      <c r="M7" s="73">
        <v>5224</v>
      </c>
      <c r="N7" s="73">
        <v>5758</v>
      </c>
      <c r="O7" s="73">
        <v>5613</v>
      </c>
      <c r="P7" s="73">
        <v>5620</v>
      </c>
      <c r="Q7" s="73">
        <v>5804</v>
      </c>
      <c r="R7" s="73">
        <v>5951</v>
      </c>
      <c r="S7" s="73">
        <v>6090</v>
      </c>
      <c r="T7" s="73">
        <v>6289</v>
      </c>
      <c r="U7" s="73">
        <v>6182</v>
      </c>
      <c r="V7" s="73">
        <v>5480</v>
      </c>
      <c r="W7" s="73">
        <v>5988</v>
      </c>
      <c r="X7" s="73">
        <v>6313</v>
      </c>
      <c r="Y7" s="73">
        <v>6349</v>
      </c>
    </row>
    <row r="8" spans="1:25">
      <c r="A8" s="3" t="s">
        <v>3</v>
      </c>
      <c r="B8" s="39" t="s">
        <v>9</v>
      </c>
      <c r="C8" s="73">
        <v>736</v>
      </c>
      <c r="D8" s="73">
        <v>807</v>
      </c>
      <c r="E8" s="73">
        <v>891</v>
      </c>
      <c r="F8" s="73">
        <v>999</v>
      </c>
      <c r="G8" s="73">
        <v>1081</v>
      </c>
      <c r="H8" s="73">
        <v>1198</v>
      </c>
      <c r="I8" s="73">
        <v>1376</v>
      </c>
      <c r="J8" s="73">
        <v>1380</v>
      </c>
      <c r="K8" s="73">
        <v>1508</v>
      </c>
      <c r="L8" s="73">
        <v>1664</v>
      </c>
      <c r="M8" s="73">
        <v>1685</v>
      </c>
      <c r="N8" s="73">
        <v>1820</v>
      </c>
      <c r="O8" s="73">
        <v>1847</v>
      </c>
      <c r="P8" s="73">
        <v>2017</v>
      </c>
      <c r="Q8" s="73">
        <v>2271</v>
      </c>
      <c r="R8" s="73">
        <v>2484</v>
      </c>
      <c r="S8" s="73">
        <v>2792</v>
      </c>
      <c r="T8" s="73">
        <v>2860</v>
      </c>
      <c r="U8" s="73">
        <v>3218</v>
      </c>
      <c r="V8" s="73">
        <v>3594</v>
      </c>
      <c r="W8" s="73">
        <v>4115</v>
      </c>
      <c r="X8" s="73">
        <v>4748</v>
      </c>
      <c r="Y8" s="73">
        <v>5406</v>
      </c>
    </row>
    <row r="9" spans="1:25">
      <c r="A9" s="3" t="s">
        <v>4</v>
      </c>
      <c r="B9" s="39" t="s">
        <v>10</v>
      </c>
      <c r="C9" s="73">
        <v>815</v>
      </c>
      <c r="D9" s="73">
        <v>873</v>
      </c>
      <c r="E9" s="73">
        <v>795</v>
      </c>
      <c r="F9" s="73">
        <v>874</v>
      </c>
      <c r="G9" s="73">
        <v>871</v>
      </c>
      <c r="H9" s="73">
        <v>810</v>
      </c>
      <c r="I9" s="73">
        <v>754</v>
      </c>
      <c r="J9" s="73">
        <v>670</v>
      </c>
      <c r="K9" s="73">
        <v>706</v>
      </c>
      <c r="L9" s="73">
        <v>675</v>
      </c>
      <c r="M9" s="73">
        <v>774</v>
      </c>
      <c r="N9" s="73">
        <v>746</v>
      </c>
      <c r="O9" s="73">
        <v>695</v>
      </c>
      <c r="P9" s="73">
        <v>789</v>
      </c>
      <c r="Q9" s="73">
        <v>826</v>
      </c>
      <c r="R9" s="73">
        <v>849</v>
      </c>
      <c r="S9" s="73">
        <v>860</v>
      </c>
      <c r="T9" s="73">
        <v>853</v>
      </c>
      <c r="U9" s="73">
        <v>855</v>
      </c>
      <c r="V9" s="73">
        <v>846</v>
      </c>
      <c r="W9" s="73">
        <v>866</v>
      </c>
      <c r="X9" s="73">
        <v>858</v>
      </c>
      <c r="Y9" s="73">
        <v>889</v>
      </c>
    </row>
    <row r="10" spans="1:25">
      <c r="A10" s="3" t="s">
        <v>5</v>
      </c>
      <c r="B10" s="39" t="s">
        <v>11</v>
      </c>
      <c r="C10" s="73">
        <v>12037</v>
      </c>
      <c r="D10" s="73">
        <v>12651</v>
      </c>
      <c r="E10" s="73">
        <v>12933</v>
      </c>
      <c r="F10" s="73">
        <v>13467</v>
      </c>
      <c r="G10" s="73">
        <v>14873</v>
      </c>
      <c r="H10" s="73">
        <v>15685</v>
      </c>
      <c r="I10" s="73">
        <v>16135</v>
      </c>
      <c r="J10" s="73">
        <v>16125</v>
      </c>
      <c r="K10" s="73">
        <v>15642</v>
      </c>
      <c r="L10" s="73">
        <v>15993</v>
      </c>
      <c r="M10" s="73">
        <v>19530</v>
      </c>
      <c r="N10" s="73">
        <v>18953</v>
      </c>
      <c r="O10" s="73">
        <v>18872</v>
      </c>
      <c r="P10" s="73">
        <v>20464</v>
      </c>
      <c r="Q10" s="73">
        <v>21493</v>
      </c>
      <c r="R10" s="73">
        <v>23463</v>
      </c>
      <c r="S10" s="73">
        <v>26968</v>
      </c>
      <c r="T10" s="73">
        <v>28096</v>
      </c>
      <c r="U10" s="73">
        <v>28955</v>
      </c>
      <c r="V10" s="73">
        <v>30279</v>
      </c>
      <c r="W10" s="73">
        <v>31898</v>
      </c>
      <c r="X10" s="73">
        <v>33684</v>
      </c>
      <c r="Y10" s="73">
        <v>35743</v>
      </c>
    </row>
    <row r="11" spans="1:25">
      <c r="A11" t="s">
        <v>153</v>
      </c>
    </row>
    <row r="12" spans="1:25" ht="32.549999999999997" customHeight="1">
      <c r="A12" s="1" t="s">
        <v>38</v>
      </c>
    </row>
    <row r="13" spans="1:25">
      <c r="A13" t="s">
        <v>51</v>
      </c>
      <c r="B13" t="s">
        <v>39</v>
      </c>
    </row>
    <row r="14" spans="1:25">
      <c r="A14" t="s">
        <v>52</v>
      </c>
      <c r="B14" t="s">
        <v>40</v>
      </c>
    </row>
    <row r="15" spans="1:25">
      <c r="A15" t="s">
        <v>327</v>
      </c>
      <c r="B15" s="78" t="s">
        <v>324</v>
      </c>
    </row>
    <row r="16" spans="1:25">
      <c r="A16" t="s">
        <v>53</v>
      </c>
      <c r="B16" s="18" t="s">
        <v>334</v>
      </c>
    </row>
    <row r="17" spans="1:2">
      <c r="A17" t="s">
        <v>380</v>
      </c>
      <c r="B17" s="19" t="s">
        <v>336</v>
      </c>
    </row>
    <row r="18" spans="1:2">
      <c r="A18" t="s">
        <v>54</v>
      </c>
      <c r="B18" t="s">
        <v>43</v>
      </c>
    </row>
    <row r="19" spans="1:2">
      <c r="A19" t="s">
        <v>326</v>
      </c>
      <c r="B19" t="s">
        <v>44</v>
      </c>
    </row>
    <row r="20" spans="1:2">
      <c r="A20" t="s">
        <v>55</v>
      </c>
      <c r="B20" t="s">
        <v>45</v>
      </c>
    </row>
    <row r="21" spans="1:2">
      <c r="A21" t="s">
        <v>56</v>
      </c>
      <c r="B21" t="s">
        <v>46</v>
      </c>
    </row>
    <row r="22" spans="1:2">
      <c r="A22" t="s">
        <v>57</v>
      </c>
      <c r="B22" t="s">
        <v>47</v>
      </c>
    </row>
    <row r="23" spans="1:2">
      <c r="A23" t="s">
        <v>58</v>
      </c>
      <c r="B23" t="s">
        <v>48</v>
      </c>
    </row>
    <row r="24" spans="1:2">
      <c r="A24" t="s">
        <v>59</v>
      </c>
      <c r="B24" t="s">
        <v>49</v>
      </c>
    </row>
    <row r="25" spans="1:2">
      <c r="A25" t="s">
        <v>60</v>
      </c>
      <c r="B25" t="s">
        <v>50</v>
      </c>
    </row>
  </sheetData>
  <hyperlinks>
    <hyperlink ref="B15" r:id="rId1" xr:uid="{7D6F247D-08D0-4D04-B01B-CDE118BC2FEF}"/>
    <hyperlink ref="B17" r:id="rId2" xr:uid="{303FE7AB-12A8-4545-A379-ADE604D2558E}"/>
  </hyperlinks>
  <pageMargins left="0.7" right="0.7" top="0.75" bottom="0.75" header="0.3" footer="0.3"/>
  <pageSetup paperSize="9" orientation="portrait"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35799-5D3E-41DF-8016-AA308DC368AD}">
  <sheetPr>
    <tabColor theme="2" tint="-0.249977111117893"/>
  </sheetPr>
  <dimension ref="A1:G59"/>
  <sheetViews>
    <sheetView showGridLines="0" zoomScale="70" zoomScaleNormal="70" workbookViewId="0"/>
  </sheetViews>
  <sheetFormatPr defaultRowHeight="15"/>
  <cols>
    <col min="1" max="1" width="13.83203125" customWidth="1"/>
    <col min="2" max="2" width="60.21875" bestFit="1" customWidth="1"/>
    <col min="3" max="3" width="10.94140625" customWidth="1"/>
    <col min="5" max="5" width="14.5546875" customWidth="1"/>
    <col min="6" max="6" width="13.0546875" customWidth="1"/>
    <col min="7" max="18" width="14.38671875" customWidth="1"/>
  </cols>
  <sheetData>
    <row r="1" spans="1:7" ht="17.649999999999999">
      <c r="A1" s="12" t="s">
        <v>398</v>
      </c>
    </row>
    <row r="2" spans="1:7" ht="22.5" customHeight="1">
      <c r="A2" s="11" t="s">
        <v>158</v>
      </c>
    </row>
    <row r="3" spans="1:7" ht="41.55" customHeight="1">
      <c r="A3" s="11" t="s">
        <v>64</v>
      </c>
    </row>
    <row r="4" spans="1:7" ht="38.549999999999997" customHeight="1">
      <c r="A4" s="23" t="s">
        <v>377</v>
      </c>
      <c r="B4" s="37" t="s">
        <v>147</v>
      </c>
      <c r="C4" s="23" t="s">
        <v>224</v>
      </c>
      <c r="D4" s="24" t="s">
        <v>225</v>
      </c>
      <c r="E4" s="25" t="s">
        <v>226</v>
      </c>
      <c r="F4" s="25" t="s">
        <v>227</v>
      </c>
      <c r="G4" s="25" t="s">
        <v>228</v>
      </c>
    </row>
    <row r="5" spans="1:7" ht="83.55" customHeight="1">
      <c r="A5" s="22" t="s">
        <v>155</v>
      </c>
      <c r="B5" s="14" t="s">
        <v>155</v>
      </c>
      <c r="C5" s="21" t="s">
        <v>229</v>
      </c>
      <c r="D5" s="21" t="s">
        <v>230</v>
      </c>
      <c r="E5" s="21" t="s">
        <v>378</v>
      </c>
      <c r="F5" s="21" t="s">
        <v>231</v>
      </c>
      <c r="G5" s="21" t="s">
        <v>232</v>
      </c>
    </row>
    <row r="6" spans="1:7">
      <c r="A6" s="13" t="s">
        <v>98</v>
      </c>
      <c r="B6" s="15" t="s">
        <v>99</v>
      </c>
      <c r="C6" s="73">
        <v>-76</v>
      </c>
      <c r="D6" s="73">
        <v>5</v>
      </c>
      <c r="E6" s="73">
        <v>-495</v>
      </c>
      <c r="F6" s="73">
        <v>-217</v>
      </c>
      <c r="G6" s="73">
        <v>-1708</v>
      </c>
    </row>
    <row r="7" spans="1:7">
      <c r="A7" s="5" t="s">
        <v>100</v>
      </c>
      <c r="B7" s="16" t="s">
        <v>101</v>
      </c>
      <c r="C7" s="73">
        <v>2</v>
      </c>
      <c r="D7" s="73">
        <v>0</v>
      </c>
      <c r="E7" s="73">
        <v>-210</v>
      </c>
      <c r="F7" s="73">
        <v>0</v>
      </c>
      <c r="G7" s="73">
        <v>-40</v>
      </c>
    </row>
    <row r="8" spans="1:7">
      <c r="A8" s="5" t="s">
        <v>102</v>
      </c>
      <c r="B8" s="16" t="s">
        <v>103</v>
      </c>
      <c r="C8" s="73">
        <v>1</v>
      </c>
      <c r="D8" s="73">
        <v>-3</v>
      </c>
      <c r="E8" s="73">
        <v>-131</v>
      </c>
      <c r="F8" s="73">
        <v>0</v>
      </c>
      <c r="G8" s="73">
        <v>3</v>
      </c>
    </row>
    <row r="9" spans="1:7">
      <c r="A9" s="5" t="s">
        <v>104</v>
      </c>
      <c r="B9" s="16" t="s">
        <v>105</v>
      </c>
      <c r="C9" s="73">
        <v>0</v>
      </c>
      <c r="D9" s="73">
        <v>-1</v>
      </c>
      <c r="E9" s="73">
        <v>0</v>
      </c>
      <c r="F9" s="73">
        <v>0</v>
      </c>
      <c r="G9" s="73">
        <v>1</v>
      </c>
    </row>
    <row r="10" spans="1:7">
      <c r="A10" s="5" t="s">
        <v>106</v>
      </c>
      <c r="B10" s="16" t="s">
        <v>107</v>
      </c>
      <c r="C10" s="73">
        <v>1</v>
      </c>
      <c r="D10" s="73">
        <v>-3</v>
      </c>
      <c r="E10" s="73">
        <v>-79</v>
      </c>
      <c r="F10" s="73">
        <v>0</v>
      </c>
      <c r="G10" s="73">
        <v>-43</v>
      </c>
    </row>
    <row r="11" spans="1:7">
      <c r="A11" s="5" t="s">
        <v>108</v>
      </c>
      <c r="B11" s="16" t="s">
        <v>109</v>
      </c>
      <c r="C11" s="73">
        <v>1</v>
      </c>
      <c r="D11" s="73">
        <v>-3</v>
      </c>
      <c r="E11" s="73">
        <v>-79</v>
      </c>
      <c r="F11" s="73">
        <v>0</v>
      </c>
      <c r="G11" s="73">
        <v>-43</v>
      </c>
    </row>
    <row r="12" spans="1:7">
      <c r="A12" s="5" t="s">
        <v>110</v>
      </c>
      <c r="B12" s="16" t="s">
        <v>111</v>
      </c>
      <c r="C12" s="73">
        <v>-11</v>
      </c>
      <c r="D12" s="73">
        <v>0</v>
      </c>
      <c r="E12" s="73">
        <v>-52</v>
      </c>
      <c r="F12" s="73">
        <v>0</v>
      </c>
      <c r="G12" s="73">
        <v>0</v>
      </c>
    </row>
    <row r="13" spans="1:7">
      <c r="A13" s="5" t="s">
        <v>112</v>
      </c>
      <c r="B13" s="16" t="s">
        <v>113</v>
      </c>
      <c r="C13" s="73">
        <v>0</v>
      </c>
      <c r="D13" s="73">
        <v>0</v>
      </c>
      <c r="E13" s="73">
        <v>0</v>
      </c>
      <c r="F13" s="73">
        <v>0</v>
      </c>
      <c r="G13" s="73">
        <v>0</v>
      </c>
    </row>
    <row r="14" spans="1:7">
      <c r="A14" s="5" t="s">
        <v>114</v>
      </c>
      <c r="B14" s="16" t="s">
        <v>115</v>
      </c>
      <c r="C14" s="73">
        <v>0</v>
      </c>
      <c r="D14" s="73">
        <v>-3</v>
      </c>
      <c r="E14" s="73">
        <v>-27</v>
      </c>
      <c r="F14" s="73">
        <v>0</v>
      </c>
      <c r="G14" s="73">
        <v>-43</v>
      </c>
    </row>
    <row r="15" spans="1:7">
      <c r="A15" s="5" t="s">
        <v>116</v>
      </c>
      <c r="B15" s="16" t="s">
        <v>117</v>
      </c>
      <c r="C15" s="73">
        <v>11</v>
      </c>
      <c r="D15" s="73">
        <v>0</v>
      </c>
      <c r="E15" s="73">
        <v>0</v>
      </c>
      <c r="F15" s="73">
        <v>0</v>
      </c>
      <c r="G15" s="73">
        <v>0</v>
      </c>
    </row>
    <row r="16" spans="1:7">
      <c r="A16" s="5" t="s">
        <v>118</v>
      </c>
      <c r="B16" s="16" t="s">
        <v>119</v>
      </c>
      <c r="C16" s="73">
        <v>0</v>
      </c>
      <c r="D16" s="73">
        <v>0</v>
      </c>
      <c r="E16" s="73">
        <v>0</v>
      </c>
      <c r="F16" s="73">
        <v>0</v>
      </c>
      <c r="G16" s="73">
        <v>0</v>
      </c>
    </row>
    <row r="17" spans="1:7">
      <c r="A17" s="5" t="s">
        <v>120</v>
      </c>
      <c r="B17" s="16" t="s">
        <v>121</v>
      </c>
      <c r="C17" s="73">
        <v>0</v>
      </c>
      <c r="D17" s="73">
        <v>7</v>
      </c>
      <c r="E17" s="73">
        <v>0</v>
      </c>
      <c r="F17" s="73">
        <v>0</v>
      </c>
      <c r="G17" s="73">
        <v>0</v>
      </c>
    </row>
    <row r="18" spans="1:7">
      <c r="A18" s="5" t="s">
        <v>122</v>
      </c>
      <c r="B18" s="16" t="s">
        <v>123</v>
      </c>
      <c r="C18" s="73">
        <v>0</v>
      </c>
      <c r="D18" s="73">
        <v>7</v>
      </c>
      <c r="E18" s="73">
        <v>0</v>
      </c>
      <c r="F18" s="73">
        <v>0</v>
      </c>
      <c r="G18" s="73">
        <v>0</v>
      </c>
    </row>
    <row r="19" spans="1:7">
      <c r="A19" s="5" t="s">
        <v>124</v>
      </c>
      <c r="B19" s="16" t="s">
        <v>125</v>
      </c>
      <c r="C19" s="73">
        <v>0</v>
      </c>
      <c r="D19" s="73">
        <v>0</v>
      </c>
      <c r="E19" s="73">
        <v>0</v>
      </c>
      <c r="F19" s="73">
        <v>0</v>
      </c>
      <c r="G19" s="73">
        <v>0</v>
      </c>
    </row>
    <row r="20" spans="1:7">
      <c r="A20" s="5" t="s">
        <v>342</v>
      </c>
      <c r="B20" s="16" t="s">
        <v>126</v>
      </c>
      <c r="C20" s="73">
        <v>2</v>
      </c>
      <c r="D20" s="73">
        <v>0</v>
      </c>
      <c r="E20" s="73">
        <v>-204</v>
      </c>
      <c r="F20" s="73">
        <v>0</v>
      </c>
      <c r="G20" s="73">
        <v>25</v>
      </c>
    </row>
    <row r="21" spans="1:7">
      <c r="A21" s="5" t="s">
        <v>343</v>
      </c>
      <c r="B21" s="16" t="s">
        <v>127</v>
      </c>
      <c r="C21" s="73">
        <v>0</v>
      </c>
      <c r="D21" s="73">
        <v>0</v>
      </c>
      <c r="E21" s="73">
        <v>-185</v>
      </c>
      <c r="F21" s="73">
        <v>0</v>
      </c>
      <c r="G21" s="73">
        <v>25</v>
      </c>
    </row>
    <row r="22" spans="1:7">
      <c r="A22" s="5" t="s">
        <v>344</v>
      </c>
      <c r="B22" s="16" t="s">
        <v>128</v>
      </c>
      <c r="C22" s="73">
        <v>0</v>
      </c>
      <c r="D22" s="73">
        <v>0</v>
      </c>
      <c r="E22" s="73">
        <v>0</v>
      </c>
      <c r="F22" s="73">
        <v>0</v>
      </c>
      <c r="G22" s="73">
        <v>0</v>
      </c>
    </row>
    <row r="23" spans="1:7">
      <c r="A23" s="5" t="s">
        <v>345</v>
      </c>
      <c r="B23" s="16" t="s">
        <v>129</v>
      </c>
      <c r="C23" s="73">
        <v>0</v>
      </c>
      <c r="D23" s="73">
        <v>0</v>
      </c>
      <c r="E23" s="73">
        <v>0</v>
      </c>
      <c r="F23" s="73">
        <v>0</v>
      </c>
      <c r="G23" s="73">
        <v>0</v>
      </c>
    </row>
    <row r="24" spans="1:7">
      <c r="A24" s="5" t="s">
        <v>346</v>
      </c>
      <c r="B24" s="16" t="s">
        <v>130</v>
      </c>
      <c r="C24" s="73">
        <v>2</v>
      </c>
      <c r="D24" s="73">
        <v>0</v>
      </c>
      <c r="E24" s="73">
        <v>-18</v>
      </c>
      <c r="F24" s="73">
        <v>0</v>
      </c>
      <c r="G24" s="73">
        <v>0</v>
      </c>
    </row>
    <row r="25" spans="1:7">
      <c r="A25" s="5" t="s">
        <v>347</v>
      </c>
      <c r="B25" s="16" t="s">
        <v>131</v>
      </c>
      <c r="C25" s="73">
        <v>0</v>
      </c>
      <c r="D25" s="73">
        <v>0</v>
      </c>
      <c r="E25" s="73">
        <v>-17</v>
      </c>
      <c r="F25" s="73">
        <v>0</v>
      </c>
      <c r="G25" s="73">
        <v>0</v>
      </c>
    </row>
    <row r="26" spans="1:7">
      <c r="A26" s="5" t="s">
        <v>348</v>
      </c>
      <c r="B26" s="16" t="s">
        <v>132</v>
      </c>
      <c r="C26" s="73">
        <v>0</v>
      </c>
      <c r="D26" s="73">
        <v>0</v>
      </c>
      <c r="E26" s="73">
        <v>-40</v>
      </c>
      <c r="F26" s="73">
        <v>0</v>
      </c>
      <c r="G26" s="73">
        <v>-1695</v>
      </c>
    </row>
    <row r="27" spans="1:7">
      <c r="A27" s="5" t="s">
        <v>349</v>
      </c>
      <c r="B27" s="16" t="s">
        <v>133</v>
      </c>
      <c r="C27" s="73">
        <v>0</v>
      </c>
      <c r="D27" s="73">
        <v>0</v>
      </c>
      <c r="E27" s="73">
        <v>0</v>
      </c>
      <c r="F27" s="73">
        <v>0</v>
      </c>
      <c r="G27" s="73">
        <v>-774</v>
      </c>
    </row>
    <row r="28" spans="1:7">
      <c r="A28" s="5" t="s">
        <v>350</v>
      </c>
      <c r="B28" s="16" t="s">
        <v>134</v>
      </c>
      <c r="C28" s="73">
        <v>-71</v>
      </c>
      <c r="D28" s="73">
        <v>0</v>
      </c>
      <c r="E28" s="73">
        <v>0</v>
      </c>
      <c r="F28" s="73">
        <v>0</v>
      </c>
      <c r="G28" s="73">
        <v>0</v>
      </c>
    </row>
    <row r="29" spans="1:7">
      <c r="A29" s="5" t="s">
        <v>351</v>
      </c>
      <c r="B29" s="16" t="s">
        <v>135</v>
      </c>
      <c r="C29" s="73">
        <v>0</v>
      </c>
      <c r="D29" s="73">
        <v>0</v>
      </c>
      <c r="E29" s="73">
        <v>0</v>
      </c>
      <c r="F29" s="73">
        <v>0</v>
      </c>
      <c r="G29" s="73">
        <v>-60</v>
      </c>
    </row>
    <row r="30" spans="1:7">
      <c r="A30" s="5" t="s">
        <v>352</v>
      </c>
      <c r="B30" s="16" t="s">
        <v>136</v>
      </c>
      <c r="C30" s="73">
        <v>71</v>
      </c>
      <c r="D30" s="73">
        <v>0</v>
      </c>
      <c r="E30" s="73">
        <v>0</v>
      </c>
      <c r="F30" s="73">
        <v>0</v>
      </c>
      <c r="G30" s="73">
        <v>-714</v>
      </c>
    </row>
    <row r="31" spans="1:7">
      <c r="A31" s="5" t="s">
        <v>353</v>
      </c>
      <c r="B31" s="16" t="s">
        <v>137</v>
      </c>
      <c r="C31" s="73">
        <v>0</v>
      </c>
      <c r="D31" s="73">
        <v>0</v>
      </c>
      <c r="E31" s="73">
        <v>-40</v>
      </c>
      <c r="F31" s="73">
        <v>0</v>
      </c>
      <c r="G31" s="73">
        <v>-921</v>
      </c>
    </row>
    <row r="32" spans="1:7">
      <c r="A32" s="5" t="s">
        <v>354</v>
      </c>
      <c r="B32" s="16" t="s">
        <v>138</v>
      </c>
      <c r="C32" s="73">
        <v>-2</v>
      </c>
      <c r="D32" s="73">
        <v>0</v>
      </c>
      <c r="E32" s="73">
        <v>-19</v>
      </c>
      <c r="F32" s="73">
        <v>-93</v>
      </c>
      <c r="G32" s="73">
        <v>2</v>
      </c>
    </row>
    <row r="33" spans="1:7">
      <c r="A33" s="5" t="s">
        <v>355</v>
      </c>
      <c r="B33" s="16" t="s">
        <v>139</v>
      </c>
      <c r="C33" s="73">
        <v>-2</v>
      </c>
      <c r="D33" s="73">
        <v>0</v>
      </c>
      <c r="E33" s="73">
        <v>-18</v>
      </c>
      <c r="F33" s="73">
        <v>0</v>
      </c>
      <c r="G33" s="73">
        <v>0</v>
      </c>
    </row>
    <row r="34" spans="1:7">
      <c r="A34" s="5" t="s">
        <v>356</v>
      </c>
      <c r="B34" s="16" t="s">
        <v>140</v>
      </c>
      <c r="C34" s="73">
        <v>0</v>
      </c>
      <c r="D34" s="73">
        <v>0</v>
      </c>
      <c r="E34" s="73">
        <v>0</v>
      </c>
      <c r="F34" s="73">
        <v>0</v>
      </c>
      <c r="G34" s="73">
        <v>0</v>
      </c>
    </row>
    <row r="35" spans="1:7">
      <c r="A35" s="5" t="s">
        <v>357</v>
      </c>
      <c r="B35" s="16" t="s">
        <v>141</v>
      </c>
      <c r="C35" s="73">
        <v>0</v>
      </c>
      <c r="D35" s="73">
        <v>0</v>
      </c>
      <c r="E35" s="73">
        <v>-1</v>
      </c>
      <c r="F35" s="73">
        <v>3</v>
      </c>
      <c r="G35" s="73">
        <v>2</v>
      </c>
    </row>
    <row r="36" spans="1:7">
      <c r="A36" s="5" t="s">
        <v>358</v>
      </c>
      <c r="B36" s="16" t="s">
        <v>142</v>
      </c>
      <c r="C36" s="73">
        <v>0</v>
      </c>
      <c r="D36" s="73">
        <v>0</v>
      </c>
      <c r="E36" s="73">
        <v>0</v>
      </c>
      <c r="F36" s="73">
        <v>-96</v>
      </c>
      <c r="G36" s="73">
        <v>0</v>
      </c>
    </row>
    <row r="37" spans="1:7">
      <c r="A37" s="5" t="s">
        <v>359</v>
      </c>
      <c r="B37" s="16" t="s">
        <v>143</v>
      </c>
      <c r="C37" s="73">
        <v>0</v>
      </c>
      <c r="D37" s="73">
        <v>0</v>
      </c>
      <c r="E37" s="73">
        <v>0</v>
      </c>
      <c r="F37" s="73">
        <v>0</v>
      </c>
      <c r="G37" s="73">
        <v>0</v>
      </c>
    </row>
    <row r="38" spans="1:7">
      <c r="A38" s="5" t="s">
        <v>360</v>
      </c>
      <c r="B38" s="16" t="s">
        <v>144</v>
      </c>
      <c r="C38" s="73">
        <v>0</v>
      </c>
      <c r="D38" s="73">
        <v>4</v>
      </c>
      <c r="E38" s="73">
        <v>-6</v>
      </c>
      <c r="F38" s="73">
        <v>0</v>
      </c>
      <c r="G38" s="73">
        <v>0</v>
      </c>
    </row>
    <row r="39" spans="1:7">
      <c r="A39" s="5" t="s">
        <v>361</v>
      </c>
      <c r="B39" s="16" t="s">
        <v>145</v>
      </c>
      <c r="C39" s="73">
        <v>0</v>
      </c>
      <c r="D39" s="73">
        <v>0</v>
      </c>
      <c r="E39" s="73">
        <v>-6</v>
      </c>
      <c r="F39" s="73">
        <v>0</v>
      </c>
      <c r="G39" s="73">
        <v>0</v>
      </c>
    </row>
    <row r="40" spans="1:7">
      <c r="A40" s="5" t="s">
        <v>362</v>
      </c>
      <c r="B40" s="16" t="s">
        <v>146</v>
      </c>
      <c r="C40" s="73">
        <v>0</v>
      </c>
      <c r="D40" s="73">
        <v>4</v>
      </c>
      <c r="E40" s="73">
        <v>0</v>
      </c>
      <c r="F40" s="73">
        <v>0</v>
      </c>
      <c r="G40" s="73">
        <v>0</v>
      </c>
    </row>
    <row r="41" spans="1:7">
      <c r="A41" s="5" t="s">
        <v>363</v>
      </c>
      <c r="B41" s="16" t="s">
        <v>97</v>
      </c>
      <c r="C41" s="73">
        <v>-78</v>
      </c>
      <c r="D41" s="73">
        <v>2</v>
      </c>
      <c r="E41" s="73">
        <v>0</v>
      </c>
      <c r="F41" s="73">
        <v>-124</v>
      </c>
      <c r="G41" s="73">
        <v>0</v>
      </c>
    </row>
    <row r="42" spans="1:7">
      <c r="A42" t="s">
        <v>152</v>
      </c>
    </row>
    <row r="43" spans="1:7" ht="32.549999999999997" customHeight="1">
      <c r="A43" s="1" t="s">
        <v>38</v>
      </c>
    </row>
    <row r="44" spans="1:7">
      <c r="A44" t="s">
        <v>51</v>
      </c>
      <c r="B44" s="18" t="s">
        <v>335</v>
      </c>
    </row>
    <row r="45" spans="1:7">
      <c r="A45" t="s">
        <v>52</v>
      </c>
      <c r="B45" s="18" t="s">
        <v>183</v>
      </c>
    </row>
    <row r="46" spans="1:7">
      <c r="A46" t="s">
        <v>53</v>
      </c>
      <c r="B46" s="18" t="s">
        <v>42</v>
      </c>
    </row>
    <row r="47" spans="1:7">
      <c r="A47" t="s">
        <v>54</v>
      </c>
      <c r="B47" s="18" t="s">
        <v>233</v>
      </c>
    </row>
    <row r="48" spans="1:7">
      <c r="A48" t="s">
        <v>55</v>
      </c>
      <c r="B48" s="18" t="s">
        <v>234</v>
      </c>
    </row>
    <row r="49" spans="1:2">
      <c r="A49" t="s">
        <v>330</v>
      </c>
      <c r="B49" s="19" t="s">
        <v>41</v>
      </c>
    </row>
    <row r="50" spans="1:2">
      <c r="A50" t="s">
        <v>56</v>
      </c>
      <c r="B50" s="18" t="s">
        <v>334</v>
      </c>
    </row>
    <row r="51" spans="1:2">
      <c r="A51" t="s">
        <v>332</v>
      </c>
      <c r="B51" s="19" t="s">
        <v>336</v>
      </c>
    </row>
    <row r="52" spans="1:2">
      <c r="A52" t="s">
        <v>57</v>
      </c>
      <c r="B52" s="18" t="s">
        <v>43</v>
      </c>
    </row>
    <row r="53" spans="1:2">
      <c r="A53" t="s">
        <v>333</v>
      </c>
      <c r="B53" s="90" t="s">
        <v>235</v>
      </c>
    </row>
    <row r="54" spans="1:2">
      <c r="A54" t="s">
        <v>58</v>
      </c>
      <c r="B54" s="28" t="s">
        <v>236</v>
      </c>
    </row>
    <row r="55" spans="1:2">
      <c r="A55" t="s">
        <v>59</v>
      </c>
      <c r="B55" s="28" t="s">
        <v>46</v>
      </c>
    </row>
    <row r="56" spans="1:2">
      <c r="A56" t="s">
        <v>60</v>
      </c>
      <c r="B56" s="28" t="s">
        <v>237</v>
      </c>
    </row>
    <row r="57" spans="1:2">
      <c r="A57" t="s">
        <v>61</v>
      </c>
      <c r="B57" s="28" t="s">
        <v>238</v>
      </c>
    </row>
    <row r="58" spans="1:2">
      <c r="A58" t="s">
        <v>62</v>
      </c>
      <c r="B58" s="28" t="s">
        <v>49</v>
      </c>
    </row>
    <row r="59" spans="1:2">
      <c r="A59" t="s">
        <v>239</v>
      </c>
      <c r="B59" s="18" t="s">
        <v>50</v>
      </c>
    </row>
  </sheetData>
  <hyperlinks>
    <hyperlink ref="B49" r:id="rId1" display="https://www.ons.gov.uk/peoplepopulationandcommunity/healthandsocialcare/healthcaresystem/methodologies/introductiontohealthaccounts" xr:uid="{9C20E88A-E3E5-4B82-9390-4AD8AD7A2B66}"/>
    <hyperlink ref="B51" r:id="rId2" xr:uid="{7B70C1ED-DBAD-49DB-A09C-A6E563DF705D}"/>
    <hyperlink ref="B53" r:id="rId3" xr:uid="{9474B9D9-C00F-4DC3-89DF-5A3A19946B90}"/>
  </hyperlinks>
  <pageMargins left="0.7" right="0.7" top="0.75" bottom="0.75" header="0.3" footer="0.3"/>
  <pageSetup paperSize="9" orientation="portrait" r:id="rId4"/>
  <tableParts count="1">
    <tablePart r:id="rId5"/>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87BA7-C4F0-4A3C-918E-97B457A8E3B0}">
  <sheetPr>
    <tabColor theme="2" tint="-0.249977111117893"/>
  </sheetPr>
  <dimension ref="A1:G59"/>
  <sheetViews>
    <sheetView showGridLines="0" zoomScale="70" zoomScaleNormal="70" workbookViewId="0"/>
  </sheetViews>
  <sheetFormatPr defaultRowHeight="15"/>
  <cols>
    <col min="1" max="1" width="13.83203125" customWidth="1"/>
    <col min="2" max="2" width="60.21875" bestFit="1" customWidth="1"/>
    <col min="3" max="3" width="10.94140625" customWidth="1"/>
    <col min="5" max="5" width="14.5546875" customWidth="1"/>
    <col min="6" max="6" width="13.0546875" customWidth="1"/>
    <col min="7" max="18" width="14.38671875" customWidth="1"/>
  </cols>
  <sheetData>
    <row r="1" spans="1:7" ht="17.649999999999999">
      <c r="A1" s="12" t="s">
        <v>390</v>
      </c>
    </row>
    <row r="2" spans="1:7" ht="22.5" customHeight="1">
      <c r="A2" s="11" t="s">
        <v>158</v>
      </c>
    </row>
    <row r="3" spans="1:7" ht="41.55" customHeight="1">
      <c r="A3" s="11" t="s">
        <v>64</v>
      </c>
    </row>
    <row r="4" spans="1:7" ht="38.549999999999997" customHeight="1">
      <c r="A4" s="23" t="s">
        <v>377</v>
      </c>
      <c r="B4" s="37" t="s">
        <v>147</v>
      </c>
      <c r="C4" s="23" t="s">
        <v>224</v>
      </c>
      <c r="D4" s="24" t="s">
        <v>225</v>
      </c>
      <c r="E4" s="25" t="s">
        <v>226</v>
      </c>
      <c r="F4" s="25" t="s">
        <v>227</v>
      </c>
      <c r="G4" s="25" t="s">
        <v>228</v>
      </c>
    </row>
    <row r="5" spans="1:7" ht="83.55" customHeight="1">
      <c r="A5" s="22" t="s">
        <v>155</v>
      </c>
      <c r="B5" s="14" t="s">
        <v>155</v>
      </c>
      <c r="C5" s="21" t="s">
        <v>229</v>
      </c>
      <c r="D5" s="21" t="s">
        <v>230</v>
      </c>
      <c r="E5" s="21" t="s">
        <v>378</v>
      </c>
      <c r="F5" s="21" t="s">
        <v>231</v>
      </c>
      <c r="G5" s="21" t="s">
        <v>232</v>
      </c>
    </row>
    <row r="6" spans="1:7">
      <c r="A6" s="13" t="s">
        <v>98</v>
      </c>
      <c r="B6" s="15" t="s">
        <v>99</v>
      </c>
      <c r="C6" s="73">
        <v>176808</v>
      </c>
      <c r="D6" s="73">
        <v>6349</v>
      </c>
      <c r="E6" s="73">
        <v>5406</v>
      </c>
      <c r="F6" s="73">
        <v>889</v>
      </c>
      <c r="G6" s="73">
        <v>35743</v>
      </c>
    </row>
    <row r="7" spans="1:7">
      <c r="A7" s="5" t="s">
        <v>100</v>
      </c>
      <c r="B7" s="16" t="s">
        <v>101</v>
      </c>
      <c r="C7" s="73">
        <v>110876</v>
      </c>
      <c r="D7" s="73">
        <v>3956</v>
      </c>
      <c r="E7" s="73">
        <v>2295</v>
      </c>
      <c r="F7" s="73">
        <v>0</v>
      </c>
      <c r="G7" s="73">
        <v>6995</v>
      </c>
    </row>
    <row r="8" spans="1:7">
      <c r="A8" s="5" t="s">
        <v>102</v>
      </c>
      <c r="B8" s="16" t="s">
        <v>103</v>
      </c>
      <c r="C8" s="73">
        <v>47411</v>
      </c>
      <c r="D8" s="73">
        <v>1284</v>
      </c>
      <c r="E8" s="73">
        <v>1434</v>
      </c>
      <c r="F8" s="73">
        <v>0</v>
      </c>
      <c r="G8" s="73">
        <v>627</v>
      </c>
    </row>
    <row r="9" spans="1:7">
      <c r="A9" s="5" t="s">
        <v>104</v>
      </c>
      <c r="B9" s="16" t="s">
        <v>105</v>
      </c>
      <c r="C9" s="73">
        <v>9319</v>
      </c>
      <c r="D9" s="73">
        <v>976</v>
      </c>
      <c r="E9" s="73">
        <v>1</v>
      </c>
      <c r="F9" s="73">
        <v>0</v>
      </c>
      <c r="G9" s="73">
        <v>272</v>
      </c>
    </row>
    <row r="10" spans="1:7">
      <c r="A10" s="5" t="s">
        <v>106</v>
      </c>
      <c r="B10" s="16" t="s">
        <v>107</v>
      </c>
      <c r="C10" s="73">
        <v>48460</v>
      </c>
      <c r="D10" s="73">
        <v>1581</v>
      </c>
      <c r="E10" s="73">
        <v>860</v>
      </c>
      <c r="F10" s="73">
        <v>0</v>
      </c>
      <c r="G10" s="73">
        <v>6029</v>
      </c>
    </row>
    <row r="11" spans="1:7">
      <c r="A11" s="5" t="s">
        <v>108</v>
      </c>
      <c r="B11" s="16" t="s">
        <v>109</v>
      </c>
      <c r="C11" s="73">
        <v>46469</v>
      </c>
      <c r="D11" s="73">
        <v>1581</v>
      </c>
      <c r="E11" s="73">
        <v>860</v>
      </c>
      <c r="F11" s="73">
        <v>0</v>
      </c>
      <c r="G11" s="73">
        <v>6029</v>
      </c>
    </row>
    <row r="12" spans="1:7">
      <c r="A12" s="5" t="s">
        <v>110</v>
      </c>
      <c r="B12" s="16" t="s">
        <v>111</v>
      </c>
      <c r="C12" s="73">
        <v>17727</v>
      </c>
      <c r="D12" s="73">
        <v>1</v>
      </c>
      <c r="E12" s="73">
        <v>567</v>
      </c>
      <c r="F12" s="73">
        <v>0</v>
      </c>
      <c r="G12" s="73">
        <v>1168</v>
      </c>
    </row>
    <row r="13" spans="1:7">
      <c r="A13" s="5" t="s">
        <v>112</v>
      </c>
      <c r="B13" s="16" t="s">
        <v>113</v>
      </c>
      <c r="C13" s="73">
        <v>2576</v>
      </c>
      <c r="D13" s="73">
        <v>460</v>
      </c>
      <c r="E13" s="73">
        <v>0</v>
      </c>
      <c r="F13" s="73">
        <v>0</v>
      </c>
      <c r="G13" s="73">
        <v>2562</v>
      </c>
    </row>
    <row r="14" spans="1:7">
      <c r="A14" s="5" t="s">
        <v>114</v>
      </c>
      <c r="B14" s="16" t="s">
        <v>115</v>
      </c>
      <c r="C14" s="73">
        <v>21491</v>
      </c>
      <c r="D14" s="73">
        <v>1060</v>
      </c>
      <c r="E14" s="73">
        <v>293</v>
      </c>
      <c r="F14" s="73">
        <v>0</v>
      </c>
      <c r="G14" s="73">
        <v>710</v>
      </c>
    </row>
    <row r="15" spans="1:7">
      <c r="A15" s="5" t="s">
        <v>116</v>
      </c>
      <c r="B15" s="16" t="s">
        <v>117</v>
      </c>
      <c r="C15" s="73">
        <v>4674</v>
      </c>
      <c r="D15" s="73">
        <v>60</v>
      </c>
      <c r="E15" s="73">
        <v>0</v>
      </c>
      <c r="F15" s="73">
        <v>0</v>
      </c>
      <c r="G15" s="73">
        <v>1588</v>
      </c>
    </row>
    <row r="16" spans="1:7">
      <c r="A16" s="5" t="s">
        <v>118</v>
      </c>
      <c r="B16" s="16" t="s">
        <v>119</v>
      </c>
      <c r="C16" s="73">
        <v>1991</v>
      </c>
      <c r="D16" s="73">
        <v>0</v>
      </c>
      <c r="E16" s="73">
        <v>0</v>
      </c>
      <c r="F16" s="73">
        <v>0</v>
      </c>
      <c r="G16" s="73">
        <v>0</v>
      </c>
    </row>
    <row r="17" spans="1:7">
      <c r="A17" s="5" t="s">
        <v>120</v>
      </c>
      <c r="B17" s="16" t="s">
        <v>121</v>
      </c>
      <c r="C17" s="73">
        <v>5686</v>
      </c>
      <c r="D17" s="73">
        <v>115</v>
      </c>
      <c r="E17" s="73">
        <v>0</v>
      </c>
      <c r="F17" s="73">
        <v>0</v>
      </c>
      <c r="G17" s="73">
        <v>68</v>
      </c>
    </row>
    <row r="18" spans="1:7">
      <c r="A18" s="5" t="s">
        <v>122</v>
      </c>
      <c r="B18" s="16" t="s">
        <v>123</v>
      </c>
      <c r="C18" s="73">
        <v>4814</v>
      </c>
      <c r="D18" s="73">
        <v>115</v>
      </c>
      <c r="E18" s="73">
        <v>0</v>
      </c>
      <c r="F18" s="73">
        <v>0</v>
      </c>
      <c r="G18" s="73">
        <v>68</v>
      </c>
    </row>
    <row r="19" spans="1:7">
      <c r="A19" s="5" t="s">
        <v>124</v>
      </c>
      <c r="B19" s="16" t="s">
        <v>125</v>
      </c>
      <c r="C19" s="73">
        <v>873</v>
      </c>
      <c r="D19" s="73">
        <v>0</v>
      </c>
      <c r="E19" s="73">
        <v>0</v>
      </c>
      <c r="F19" s="73">
        <v>0</v>
      </c>
      <c r="G19" s="73">
        <v>0</v>
      </c>
    </row>
    <row r="20" spans="1:7">
      <c r="A20" s="5" t="s">
        <v>342</v>
      </c>
      <c r="B20" s="16" t="s">
        <v>126</v>
      </c>
      <c r="C20" s="73">
        <v>25982</v>
      </c>
      <c r="D20" s="73">
        <v>0</v>
      </c>
      <c r="E20" s="73">
        <v>2225</v>
      </c>
      <c r="F20" s="73">
        <v>0</v>
      </c>
      <c r="G20" s="73">
        <v>11908</v>
      </c>
    </row>
    <row r="21" spans="1:7">
      <c r="A21" s="5" t="s">
        <v>343</v>
      </c>
      <c r="B21" s="16" t="s">
        <v>127</v>
      </c>
      <c r="C21" s="73">
        <v>14174</v>
      </c>
      <c r="D21" s="73">
        <v>0</v>
      </c>
      <c r="E21" s="73">
        <v>2022</v>
      </c>
      <c r="F21" s="73">
        <v>0</v>
      </c>
      <c r="G21" s="73">
        <v>10182</v>
      </c>
    </row>
    <row r="22" spans="1:7">
      <c r="A22" s="5" t="s">
        <v>344</v>
      </c>
      <c r="B22" s="16" t="s">
        <v>128</v>
      </c>
      <c r="C22" s="73">
        <v>19</v>
      </c>
      <c r="D22" s="73">
        <v>0</v>
      </c>
      <c r="E22" s="73">
        <v>0</v>
      </c>
      <c r="F22" s="73">
        <v>0</v>
      </c>
      <c r="G22" s="73">
        <v>0</v>
      </c>
    </row>
    <row r="23" spans="1:7">
      <c r="A23" s="5" t="s">
        <v>345</v>
      </c>
      <c r="B23" s="16" t="s">
        <v>129</v>
      </c>
      <c r="C23" s="73">
        <v>167</v>
      </c>
      <c r="D23" s="73">
        <v>0</v>
      </c>
      <c r="E23" s="73">
        <v>1</v>
      </c>
      <c r="F23" s="73">
        <v>0</v>
      </c>
      <c r="G23" s="73">
        <v>0</v>
      </c>
    </row>
    <row r="24" spans="1:7">
      <c r="A24" s="5" t="s">
        <v>346</v>
      </c>
      <c r="B24" s="16" t="s">
        <v>130</v>
      </c>
      <c r="C24" s="73">
        <v>11622</v>
      </c>
      <c r="D24" s="73">
        <v>0</v>
      </c>
      <c r="E24" s="73">
        <v>201</v>
      </c>
      <c r="F24" s="73">
        <v>0</v>
      </c>
      <c r="G24" s="73">
        <v>1726</v>
      </c>
    </row>
    <row r="25" spans="1:7">
      <c r="A25" s="5" t="s">
        <v>347</v>
      </c>
      <c r="B25" s="16" t="s">
        <v>131</v>
      </c>
      <c r="C25" s="73">
        <v>4061</v>
      </c>
      <c r="D25" s="73">
        <v>0</v>
      </c>
      <c r="E25" s="73">
        <v>183</v>
      </c>
      <c r="F25" s="73">
        <v>0</v>
      </c>
      <c r="G25" s="73">
        <v>0</v>
      </c>
    </row>
    <row r="26" spans="1:7">
      <c r="A26" s="5" t="s">
        <v>348</v>
      </c>
      <c r="B26" s="16" t="s">
        <v>132</v>
      </c>
      <c r="C26" s="73">
        <v>15842</v>
      </c>
      <c r="D26" s="73">
        <v>85</v>
      </c>
      <c r="E26" s="73">
        <v>435</v>
      </c>
      <c r="F26" s="73">
        <v>0</v>
      </c>
      <c r="G26" s="73">
        <v>15328</v>
      </c>
    </row>
    <row r="27" spans="1:7">
      <c r="A27" s="5" t="s">
        <v>349</v>
      </c>
      <c r="B27" s="16" t="s">
        <v>133</v>
      </c>
      <c r="C27" s="73">
        <v>15158</v>
      </c>
      <c r="D27" s="73">
        <v>0</v>
      </c>
      <c r="E27" s="73">
        <v>0</v>
      </c>
      <c r="F27" s="73">
        <v>0</v>
      </c>
      <c r="G27" s="73">
        <v>10638</v>
      </c>
    </row>
    <row r="28" spans="1:7">
      <c r="A28" s="5" t="s">
        <v>350</v>
      </c>
      <c r="B28" s="16" t="s">
        <v>134</v>
      </c>
      <c r="C28" s="73">
        <v>13645</v>
      </c>
      <c r="D28" s="73">
        <v>0</v>
      </c>
      <c r="E28" s="73">
        <v>0</v>
      </c>
      <c r="F28" s="73">
        <v>0</v>
      </c>
      <c r="G28" s="73">
        <v>609</v>
      </c>
    </row>
    <row r="29" spans="1:7">
      <c r="A29" s="5" t="s">
        <v>351</v>
      </c>
      <c r="B29" s="16" t="s">
        <v>135</v>
      </c>
      <c r="C29" s="73">
        <v>0</v>
      </c>
      <c r="D29" s="73">
        <v>0</v>
      </c>
      <c r="E29" s="73">
        <v>0</v>
      </c>
      <c r="F29" s="73">
        <v>0</v>
      </c>
      <c r="G29" s="73">
        <v>8807</v>
      </c>
    </row>
    <row r="30" spans="1:7">
      <c r="A30" s="5" t="s">
        <v>352</v>
      </c>
      <c r="B30" s="16" t="s">
        <v>136</v>
      </c>
      <c r="C30" s="73">
        <v>1512</v>
      </c>
      <c r="D30" s="73">
        <v>0</v>
      </c>
      <c r="E30" s="73">
        <v>0</v>
      </c>
      <c r="F30" s="73">
        <v>0</v>
      </c>
      <c r="G30" s="73">
        <v>1222</v>
      </c>
    </row>
    <row r="31" spans="1:7">
      <c r="A31" s="5" t="s">
        <v>353</v>
      </c>
      <c r="B31" s="16" t="s">
        <v>137</v>
      </c>
      <c r="C31" s="73">
        <v>684</v>
      </c>
      <c r="D31" s="73">
        <v>85</v>
      </c>
      <c r="E31" s="73">
        <v>435</v>
      </c>
      <c r="F31" s="73">
        <v>0</v>
      </c>
      <c r="G31" s="73">
        <v>4690</v>
      </c>
    </row>
    <row r="32" spans="1:7">
      <c r="A32" s="5" t="s">
        <v>354</v>
      </c>
      <c r="B32" s="16" t="s">
        <v>138</v>
      </c>
      <c r="C32" s="73">
        <v>8030</v>
      </c>
      <c r="D32" s="73">
        <v>256</v>
      </c>
      <c r="E32" s="73">
        <v>203</v>
      </c>
      <c r="F32" s="73">
        <v>749</v>
      </c>
      <c r="G32" s="73">
        <v>1512</v>
      </c>
    </row>
    <row r="33" spans="1:7">
      <c r="A33" s="5" t="s">
        <v>355</v>
      </c>
      <c r="B33" s="16" t="s">
        <v>139</v>
      </c>
      <c r="C33" s="73">
        <v>2816</v>
      </c>
      <c r="D33" s="73">
        <v>0</v>
      </c>
      <c r="E33" s="73">
        <v>192</v>
      </c>
      <c r="F33" s="73">
        <v>0</v>
      </c>
      <c r="G33" s="73">
        <v>0</v>
      </c>
    </row>
    <row r="34" spans="1:7">
      <c r="A34" s="5" t="s">
        <v>356</v>
      </c>
      <c r="B34" s="16" t="s">
        <v>140</v>
      </c>
      <c r="C34" s="73">
        <v>902</v>
      </c>
      <c r="D34" s="73">
        <v>0</v>
      </c>
      <c r="E34" s="73">
        <v>0</v>
      </c>
      <c r="F34" s="73">
        <v>0</v>
      </c>
      <c r="G34" s="73">
        <v>0</v>
      </c>
    </row>
    <row r="35" spans="1:7">
      <c r="A35" s="5" t="s">
        <v>357</v>
      </c>
      <c r="B35" s="16" t="s">
        <v>141</v>
      </c>
      <c r="C35" s="73">
        <v>563</v>
      </c>
      <c r="D35" s="73">
        <v>0</v>
      </c>
      <c r="E35" s="73">
        <v>11</v>
      </c>
      <c r="F35" s="73">
        <v>129</v>
      </c>
      <c r="G35" s="73">
        <v>86</v>
      </c>
    </row>
    <row r="36" spans="1:7">
      <c r="A36" s="5" t="s">
        <v>358</v>
      </c>
      <c r="B36" s="16" t="s">
        <v>142</v>
      </c>
      <c r="C36" s="73">
        <v>3163</v>
      </c>
      <c r="D36" s="73">
        <v>256</v>
      </c>
      <c r="E36" s="73">
        <v>0</v>
      </c>
      <c r="F36" s="73">
        <v>620</v>
      </c>
      <c r="G36" s="73">
        <v>1426</v>
      </c>
    </row>
    <row r="37" spans="1:7">
      <c r="A37" s="5" t="s">
        <v>359</v>
      </c>
      <c r="B37" s="16" t="s">
        <v>143</v>
      </c>
      <c r="C37" s="73">
        <v>587</v>
      </c>
      <c r="D37" s="73">
        <v>0</v>
      </c>
      <c r="E37" s="73">
        <v>0</v>
      </c>
      <c r="F37" s="73">
        <v>0</v>
      </c>
      <c r="G37" s="73">
        <v>0</v>
      </c>
    </row>
    <row r="38" spans="1:7">
      <c r="A38" s="5" t="s">
        <v>360</v>
      </c>
      <c r="B38" s="16" t="s">
        <v>144</v>
      </c>
      <c r="C38" s="73">
        <v>2277</v>
      </c>
      <c r="D38" s="73">
        <v>1849</v>
      </c>
      <c r="E38" s="73">
        <v>65</v>
      </c>
      <c r="F38" s="73">
        <v>0</v>
      </c>
      <c r="G38" s="73">
        <v>0</v>
      </c>
    </row>
    <row r="39" spans="1:7">
      <c r="A39" s="5" t="s">
        <v>361</v>
      </c>
      <c r="B39" s="16" t="s">
        <v>145</v>
      </c>
      <c r="C39" s="73">
        <v>2277</v>
      </c>
      <c r="D39" s="73">
        <v>0</v>
      </c>
      <c r="E39" s="73">
        <v>65</v>
      </c>
      <c r="F39" s="73">
        <v>0</v>
      </c>
      <c r="G39" s="73">
        <v>0</v>
      </c>
    </row>
    <row r="40" spans="1:7">
      <c r="A40" s="5" t="s">
        <v>362</v>
      </c>
      <c r="B40" s="16" t="s">
        <v>146</v>
      </c>
      <c r="C40" s="73">
        <v>0</v>
      </c>
      <c r="D40" s="73">
        <v>1849</v>
      </c>
      <c r="E40" s="73">
        <v>0</v>
      </c>
      <c r="F40" s="73">
        <v>0</v>
      </c>
      <c r="G40" s="73">
        <v>0</v>
      </c>
    </row>
    <row r="41" spans="1:7">
      <c r="A41" s="5" t="s">
        <v>363</v>
      </c>
      <c r="B41" s="16" t="s">
        <v>97</v>
      </c>
      <c r="C41" s="73">
        <v>9739</v>
      </c>
      <c r="D41" s="73">
        <v>202</v>
      </c>
      <c r="E41" s="73">
        <v>0</v>
      </c>
      <c r="F41" s="73">
        <v>140</v>
      </c>
      <c r="G41" s="73">
        <v>0</v>
      </c>
    </row>
    <row r="42" spans="1:7">
      <c r="A42" t="s">
        <v>152</v>
      </c>
    </row>
    <row r="43" spans="1:7" ht="32.549999999999997" customHeight="1">
      <c r="A43" s="1" t="s">
        <v>38</v>
      </c>
    </row>
    <row r="44" spans="1:7">
      <c r="A44" t="s">
        <v>51</v>
      </c>
      <c r="B44" s="18" t="s">
        <v>335</v>
      </c>
    </row>
    <row r="45" spans="1:7">
      <c r="A45" t="s">
        <v>52</v>
      </c>
      <c r="B45" s="18" t="s">
        <v>183</v>
      </c>
    </row>
    <row r="46" spans="1:7">
      <c r="A46" t="s">
        <v>53</v>
      </c>
      <c r="B46" s="18" t="s">
        <v>42</v>
      </c>
    </row>
    <row r="47" spans="1:7">
      <c r="A47" t="s">
        <v>54</v>
      </c>
      <c r="B47" s="18" t="s">
        <v>233</v>
      </c>
    </row>
    <row r="48" spans="1:7">
      <c r="A48" t="s">
        <v>55</v>
      </c>
      <c r="B48" s="18" t="s">
        <v>234</v>
      </c>
    </row>
    <row r="49" spans="1:2">
      <c r="A49" t="s">
        <v>330</v>
      </c>
      <c r="B49" s="19" t="s">
        <v>41</v>
      </c>
    </row>
    <row r="50" spans="1:2">
      <c r="A50" t="s">
        <v>56</v>
      </c>
      <c r="B50" s="18" t="s">
        <v>334</v>
      </c>
    </row>
    <row r="51" spans="1:2">
      <c r="A51" t="s">
        <v>332</v>
      </c>
      <c r="B51" s="19" t="s">
        <v>336</v>
      </c>
    </row>
    <row r="52" spans="1:2">
      <c r="A52" t="s">
        <v>57</v>
      </c>
      <c r="B52" s="18" t="s">
        <v>43</v>
      </c>
    </row>
    <row r="53" spans="1:2">
      <c r="A53" t="s">
        <v>333</v>
      </c>
      <c r="B53" s="90" t="s">
        <v>235</v>
      </c>
    </row>
    <row r="54" spans="1:2">
      <c r="A54" t="s">
        <v>58</v>
      </c>
      <c r="B54" s="28" t="s">
        <v>236</v>
      </c>
    </row>
    <row r="55" spans="1:2">
      <c r="A55" t="s">
        <v>59</v>
      </c>
      <c r="B55" s="28" t="s">
        <v>46</v>
      </c>
    </row>
    <row r="56" spans="1:2">
      <c r="A56" t="s">
        <v>60</v>
      </c>
      <c r="B56" s="28" t="s">
        <v>237</v>
      </c>
    </row>
    <row r="57" spans="1:2">
      <c r="A57" t="s">
        <v>61</v>
      </c>
      <c r="B57" s="28" t="s">
        <v>238</v>
      </c>
    </row>
    <row r="58" spans="1:2">
      <c r="A58" t="s">
        <v>62</v>
      </c>
      <c r="B58" s="28" t="s">
        <v>49</v>
      </c>
    </row>
    <row r="59" spans="1:2">
      <c r="A59" t="s">
        <v>239</v>
      </c>
      <c r="B59" s="18" t="s">
        <v>50</v>
      </c>
    </row>
  </sheetData>
  <hyperlinks>
    <hyperlink ref="B49" r:id="rId1" display="https://www.ons.gov.uk/peoplepopulationandcommunity/healthandsocialcare/healthcaresystem/methodologies/introductiontohealthaccounts" xr:uid="{A68DFAC0-E4B6-479E-B2E0-BA497569B32E}"/>
    <hyperlink ref="B51" r:id="rId2" xr:uid="{E312E62C-7705-4316-A9FB-C4B61D870D7B}"/>
    <hyperlink ref="B53" r:id="rId3" xr:uid="{D9458C78-18B6-4950-BA35-D7353BE5DE5B}"/>
  </hyperlinks>
  <pageMargins left="0.7" right="0.7" top="0.75" bottom="0.75" header="0.3" footer="0.3"/>
  <pageSetup paperSize="9" orientation="portrait" r:id="rId4"/>
  <tableParts count="1">
    <tablePart r:id="rId5"/>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A382-B4AF-4127-B70A-1AA487DE26ED}">
  <sheetPr>
    <tabColor theme="2" tint="-0.249977111117893"/>
  </sheetPr>
  <dimension ref="A1:Y23"/>
  <sheetViews>
    <sheetView showGridLines="0" zoomScale="70" zoomScaleNormal="70" workbookViewId="0"/>
  </sheetViews>
  <sheetFormatPr defaultRowHeight="15"/>
  <cols>
    <col min="1" max="1" width="13.83203125" customWidth="1"/>
    <col min="2" max="2" width="59" customWidth="1"/>
  </cols>
  <sheetData>
    <row r="1" spans="1:25" ht="17.649999999999999">
      <c r="A1" s="12" t="s">
        <v>391</v>
      </c>
    </row>
    <row r="2" spans="1:25">
      <c r="A2" s="11" t="s">
        <v>159</v>
      </c>
    </row>
    <row r="3" spans="1:25" ht="31.5" customHeight="1">
      <c r="A3" s="11" t="s">
        <v>64</v>
      </c>
      <c r="C3" s="11"/>
    </row>
    <row r="4" spans="1:25" s="9" customFormat="1" ht="46.5" customHeight="1" thickBot="1">
      <c r="A4" s="31" t="s">
        <v>381</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row>
    <row r="5" spans="1:25" ht="21" customHeight="1">
      <c r="A5" s="2" t="s">
        <v>209</v>
      </c>
      <c r="B5" s="15" t="s">
        <v>205</v>
      </c>
      <c r="C5" s="73">
        <f>Table9[[#This Row],[1997]]-Table13b[[#This Row],[1997]]</f>
        <v>-14</v>
      </c>
      <c r="D5" s="73">
        <f>Table9[[#This Row],[1998]]-Table13b[[#This Row],[1998]]</f>
        <v>-28</v>
      </c>
      <c r="E5" s="73">
        <f>Table9[[#This Row],[1999]]-Table13b[[#This Row],[1999]]</f>
        <v>-19</v>
      </c>
      <c r="F5" s="73">
        <f>Table9[[#This Row],[2000]]-Table13b[[#This Row],[2000]]</f>
        <v>-11</v>
      </c>
      <c r="G5" s="73">
        <f>Table9[[#This Row],[2001]]-Table13b[[#This Row],[2001]]</f>
        <v>-4</v>
      </c>
      <c r="H5" s="73">
        <f>Table9[[#This Row],[2002]]-Table13b[[#This Row],[2002]]</f>
        <v>-3</v>
      </c>
      <c r="I5" s="73">
        <f>Table9[[#This Row],[2003]]-Table13b[[#This Row],[2003]]</f>
        <v>5</v>
      </c>
      <c r="J5" s="73">
        <f>Table9[[#This Row],[2004]]-Table13b[[#This Row],[2004]]</f>
        <v>16</v>
      </c>
      <c r="K5" s="73">
        <f>Table9[[#This Row],[2005]]-Table13b[[#This Row],[2005]]</f>
        <v>21</v>
      </c>
      <c r="L5" s="73">
        <f>Table9[[#This Row],[2006]]-Table13b[[#This Row],[2006]]</f>
        <v>18</v>
      </c>
      <c r="M5" s="73">
        <f>Table9[[#This Row],[2007]]-Table13b[[#This Row],[2007]]</f>
        <v>18</v>
      </c>
      <c r="N5" s="73">
        <f>Table9[[#This Row],[2008]]-Table13b[[#This Row],[2008]]</f>
        <v>15</v>
      </c>
      <c r="O5" s="73">
        <f>Table9[[#This Row],[2009]]-Table13b[[#This Row],[2009]]</f>
        <v>2</v>
      </c>
      <c r="P5" s="73">
        <f>Table9[[#This Row],[2010]]-Table13b[[#This Row],[2010]]</f>
        <v>-5</v>
      </c>
      <c r="Q5" s="73">
        <f>Table9[[#This Row],[2011]]-Table13b[[#This Row],[2011]]</f>
        <v>-6</v>
      </c>
      <c r="R5" s="73">
        <f>Table9[[#This Row],[2012]]-Table13b[[#This Row],[2012]]</f>
        <v>-4</v>
      </c>
      <c r="S5" s="73">
        <f>Table9[[#This Row],[2013]]-Table13b[[#This Row],[2013]]</f>
        <v>0</v>
      </c>
      <c r="T5" s="73">
        <f>Table9[[#This Row],[2014]]-Table13b[[#This Row],[2014]]</f>
        <v>3</v>
      </c>
      <c r="U5" s="73">
        <f>Table9[[#This Row],[2015]]-Table13b[[#This Row],[2015]]</f>
        <v>5</v>
      </c>
      <c r="V5" s="73">
        <f>Table9[[#This Row],[2016]]-Table13b[[#This Row],[2016]]</f>
        <v>6</v>
      </c>
      <c r="W5" s="73">
        <f>Table9[[#This Row],[2017]]-Table13b[[#This Row],[2017]]</f>
        <v>14</v>
      </c>
      <c r="X5" s="73">
        <f>Table9[[#This Row],[2018]]-Table13b[[#This Row],[2018]]</f>
        <v>155</v>
      </c>
      <c r="Y5" s="73">
        <f>Table9[[#This Row],[2019]]-Table13b[[#This Row],[2019]]</f>
        <v>583</v>
      </c>
    </row>
    <row r="6" spans="1:25" ht="20" customHeight="1">
      <c r="A6" s="10" t="s">
        <v>210</v>
      </c>
      <c r="B6" s="16" t="s">
        <v>382</v>
      </c>
      <c r="C6" s="73">
        <f>Table9[[#This Row],[1997]]-Table13b[[#This Row],[1997]]</f>
        <v>-14</v>
      </c>
      <c r="D6" s="73">
        <f>Table9[[#This Row],[1998]]-Table13b[[#This Row],[1998]]</f>
        <v>-29</v>
      </c>
      <c r="E6" s="73">
        <f>Table9[[#This Row],[1999]]-Table13b[[#This Row],[1999]]</f>
        <v>-19</v>
      </c>
      <c r="F6" s="73">
        <f>Table9[[#This Row],[2000]]-Table13b[[#This Row],[2000]]</f>
        <v>-12</v>
      </c>
      <c r="G6" s="73">
        <f>Table9[[#This Row],[2001]]-Table13b[[#This Row],[2001]]</f>
        <v>-4</v>
      </c>
      <c r="H6" s="73">
        <f>Table9[[#This Row],[2002]]-Table13b[[#This Row],[2002]]</f>
        <v>-1</v>
      </c>
      <c r="I6" s="73">
        <f>Table9[[#This Row],[2003]]-Table13b[[#This Row],[2003]]</f>
        <v>3</v>
      </c>
      <c r="J6" s="73">
        <f>Table9[[#This Row],[2004]]-Table13b[[#This Row],[2004]]</f>
        <v>15</v>
      </c>
      <c r="K6" s="73">
        <f>Table9[[#This Row],[2005]]-Table13b[[#This Row],[2005]]</f>
        <v>22</v>
      </c>
      <c r="L6" s="73">
        <f>Table9[[#This Row],[2006]]-Table13b[[#This Row],[2006]]</f>
        <v>17</v>
      </c>
      <c r="M6" s="73">
        <f>Table9[[#This Row],[2007]]-Table13b[[#This Row],[2007]]</f>
        <v>18</v>
      </c>
      <c r="N6" s="73">
        <f>Table9[[#This Row],[2008]]-Table13b[[#This Row],[2008]]</f>
        <v>14</v>
      </c>
      <c r="O6" s="73">
        <f>Table9[[#This Row],[2009]]-Table13b[[#This Row],[2009]]</f>
        <v>4</v>
      </c>
      <c r="P6" s="73">
        <f>Table9[[#This Row],[2010]]-Table13b[[#This Row],[2010]]</f>
        <v>0</v>
      </c>
      <c r="Q6" s="73">
        <f>Table9[[#This Row],[2011]]-Table13b[[#This Row],[2011]]</f>
        <v>-6</v>
      </c>
      <c r="R6" s="73">
        <f>Table9[[#This Row],[2012]]-Table13b[[#This Row],[2012]]</f>
        <v>-4</v>
      </c>
      <c r="S6" s="73">
        <f>Table9[[#This Row],[2013]]-Table13b[[#This Row],[2013]]</f>
        <v>-2</v>
      </c>
      <c r="T6" s="73">
        <f>Table9[[#This Row],[2014]]-Table13b[[#This Row],[2014]]</f>
        <v>1</v>
      </c>
      <c r="U6" s="73">
        <f>Table9[[#This Row],[2015]]-Table13b[[#This Row],[2015]]</f>
        <v>0</v>
      </c>
      <c r="V6" s="73">
        <f>Table9[[#This Row],[2016]]-Table13b[[#This Row],[2016]]</f>
        <v>4</v>
      </c>
      <c r="W6" s="73">
        <f>Table9[[#This Row],[2017]]-Table13b[[#This Row],[2017]]</f>
        <v>-7</v>
      </c>
      <c r="X6" s="73">
        <f>Table9[[#This Row],[2018]]-Table13b[[#This Row],[2018]]</f>
        <v>294</v>
      </c>
      <c r="Y6" s="73">
        <f>Table9[[#This Row],[2019]]-Table13b[[#This Row],[2019]]</f>
        <v>285</v>
      </c>
    </row>
    <row r="7" spans="1:25" ht="20.55" customHeight="1">
      <c r="A7" s="10" t="s">
        <v>211</v>
      </c>
      <c r="B7" s="16" t="s">
        <v>383</v>
      </c>
      <c r="C7" s="73">
        <f>Table9[[#This Row],[1997]]-Table13b[[#This Row],[1997]]</f>
        <v>0</v>
      </c>
      <c r="D7" s="73">
        <f>Table9[[#This Row],[1998]]-Table13b[[#This Row],[1998]]</f>
        <v>1</v>
      </c>
      <c r="E7" s="73">
        <f>Table9[[#This Row],[1999]]-Table13b[[#This Row],[1999]]</f>
        <v>1</v>
      </c>
      <c r="F7" s="73">
        <f>Table9[[#This Row],[2000]]-Table13b[[#This Row],[2000]]</f>
        <v>0</v>
      </c>
      <c r="G7" s="73">
        <f>Table9[[#This Row],[2001]]-Table13b[[#This Row],[2001]]</f>
        <v>0</v>
      </c>
      <c r="H7" s="73">
        <f>Table9[[#This Row],[2002]]-Table13b[[#This Row],[2002]]</f>
        <v>0</v>
      </c>
      <c r="I7" s="73">
        <f>Table9[[#This Row],[2003]]-Table13b[[#This Row],[2003]]</f>
        <v>2</v>
      </c>
      <c r="J7" s="73">
        <f>Table9[[#This Row],[2004]]-Table13b[[#This Row],[2004]]</f>
        <v>0</v>
      </c>
      <c r="K7" s="73">
        <f>Table9[[#This Row],[2005]]-Table13b[[#This Row],[2005]]</f>
        <v>0</v>
      </c>
      <c r="L7" s="73">
        <f>Table9[[#This Row],[2006]]-Table13b[[#This Row],[2006]]</f>
        <v>1</v>
      </c>
      <c r="M7" s="73">
        <f>Table9[[#This Row],[2007]]-Table13b[[#This Row],[2007]]</f>
        <v>0</v>
      </c>
      <c r="N7" s="73">
        <f>Table9[[#This Row],[2008]]-Table13b[[#This Row],[2008]]</f>
        <v>0</v>
      </c>
      <c r="O7" s="73">
        <f>Table9[[#This Row],[2009]]-Table13b[[#This Row],[2009]]</f>
        <v>-2</v>
      </c>
      <c r="P7" s="73">
        <f>Table9[[#This Row],[2010]]-Table13b[[#This Row],[2010]]</f>
        <v>-4</v>
      </c>
      <c r="Q7" s="73">
        <f>Table9[[#This Row],[2011]]-Table13b[[#This Row],[2011]]</f>
        <v>0</v>
      </c>
      <c r="R7" s="73">
        <f>Table9[[#This Row],[2012]]-Table13b[[#This Row],[2012]]</f>
        <v>0</v>
      </c>
      <c r="S7" s="73">
        <f>Table9[[#This Row],[2013]]-Table13b[[#This Row],[2013]]</f>
        <v>0</v>
      </c>
      <c r="T7" s="73">
        <f>Table9[[#This Row],[2014]]-Table13b[[#This Row],[2014]]</f>
        <v>0</v>
      </c>
      <c r="U7" s="73">
        <f>Table9[[#This Row],[2015]]-Table13b[[#This Row],[2015]]</f>
        <v>2</v>
      </c>
      <c r="V7" s="73">
        <f>Table9[[#This Row],[2016]]-Table13b[[#This Row],[2016]]</f>
        <v>0</v>
      </c>
      <c r="W7" s="73">
        <f>Table9[[#This Row],[2017]]-Table13b[[#This Row],[2017]]</f>
        <v>-4</v>
      </c>
      <c r="X7" s="73">
        <f>Table9[[#This Row],[2018]]-Table13b[[#This Row],[2018]]</f>
        <v>-156</v>
      </c>
      <c r="Y7" s="73">
        <f>Table9[[#This Row],[2019]]-Table13b[[#This Row],[2019]]</f>
        <v>231</v>
      </c>
    </row>
    <row r="8" spans="1:25" ht="22.5" customHeight="1">
      <c r="A8" s="10" t="s">
        <v>212</v>
      </c>
      <c r="B8" s="16" t="s">
        <v>384</v>
      </c>
      <c r="C8" s="73">
        <f>Table9[[#This Row],[1997]]-Table13b[[#This Row],[1997]]</f>
        <v>0</v>
      </c>
      <c r="D8" s="73">
        <f>Table9[[#This Row],[1998]]-Table13b[[#This Row],[1998]]</f>
        <v>0</v>
      </c>
      <c r="E8" s="73">
        <f>Table9[[#This Row],[1999]]-Table13b[[#This Row],[1999]]</f>
        <v>-1</v>
      </c>
      <c r="F8" s="73">
        <f>Table9[[#This Row],[2000]]-Table13b[[#This Row],[2000]]</f>
        <v>1</v>
      </c>
      <c r="G8" s="73">
        <f>Table9[[#This Row],[2001]]-Table13b[[#This Row],[2001]]</f>
        <v>0</v>
      </c>
      <c r="H8" s="73">
        <f>Table9[[#This Row],[2002]]-Table13b[[#This Row],[2002]]</f>
        <v>-2</v>
      </c>
      <c r="I8" s="73">
        <f>Table9[[#This Row],[2003]]-Table13b[[#This Row],[2003]]</f>
        <v>0</v>
      </c>
      <c r="J8" s="73">
        <f>Table9[[#This Row],[2004]]-Table13b[[#This Row],[2004]]</f>
        <v>1</v>
      </c>
      <c r="K8" s="73">
        <f>Table9[[#This Row],[2005]]-Table13b[[#This Row],[2005]]</f>
        <v>-1</v>
      </c>
      <c r="L8" s="73">
        <f>Table9[[#This Row],[2006]]-Table13b[[#This Row],[2006]]</f>
        <v>0</v>
      </c>
      <c r="M8" s="73">
        <f>Table9[[#This Row],[2007]]-Table13b[[#This Row],[2007]]</f>
        <v>0</v>
      </c>
      <c r="N8" s="73">
        <f>Table9[[#This Row],[2008]]-Table13b[[#This Row],[2008]]</f>
        <v>1</v>
      </c>
      <c r="O8" s="73">
        <f>Table9[[#This Row],[2009]]-Table13b[[#This Row],[2009]]</f>
        <v>0</v>
      </c>
      <c r="P8" s="73">
        <f>Table9[[#This Row],[2010]]-Table13b[[#This Row],[2010]]</f>
        <v>-1</v>
      </c>
      <c r="Q8" s="73">
        <f>Table9[[#This Row],[2011]]-Table13b[[#This Row],[2011]]</f>
        <v>1</v>
      </c>
      <c r="R8" s="73">
        <f>Table9[[#This Row],[2012]]-Table13b[[#This Row],[2012]]</f>
        <v>2</v>
      </c>
      <c r="S8" s="73">
        <f>Table9[[#This Row],[2013]]-Table13b[[#This Row],[2013]]</f>
        <v>1</v>
      </c>
      <c r="T8" s="73">
        <f>Table9[[#This Row],[2014]]-Table13b[[#This Row],[2014]]</f>
        <v>3</v>
      </c>
      <c r="U8" s="73">
        <f>Table9[[#This Row],[2015]]-Table13b[[#This Row],[2015]]</f>
        <v>1</v>
      </c>
      <c r="V8" s="73">
        <f>Table9[[#This Row],[2016]]-Table13b[[#This Row],[2016]]</f>
        <v>1</v>
      </c>
      <c r="W8" s="73">
        <f>Table9[[#This Row],[2017]]-Table13b[[#This Row],[2017]]</f>
        <v>26</v>
      </c>
      <c r="X8" s="73">
        <f>Table9[[#This Row],[2018]]-Table13b[[#This Row],[2018]]</f>
        <v>17</v>
      </c>
      <c r="Y8" s="73">
        <f>Table9[[#This Row],[2019]]-Table13b[[#This Row],[2019]]</f>
        <v>67</v>
      </c>
    </row>
    <row r="9" spans="1:25">
      <c r="A9" t="s">
        <v>153</v>
      </c>
    </row>
    <row r="10" spans="1:25" ht="32.549999999999997" customHeight="1">
      <c r="A10" s="1" t="s">
        <v>38</v>
      </c>
    </row>
    <row r="11" spans="1:25">
      <c r="A11" t="s">
        <v>51</v>
      </c>
      <c r="B11" s="18" t="s">
        <v>335</v>
      </c>
      <c r="C11" s="28"/>
      <c r="D11" s="28"/>
      <c r="E11" s="28"/>
      <c r="F11" s="28"/>
      <c r="G11" s="28"/>
      <c r="H11" s="28"/>
      <c r="I11" s="28"/>
      <c r="J11" s="28"/>
      <c r="K11" s="28"/>
      <c r="L11" s="28"/>
      <c r="M11" s="34"/>
      <c r="N11" s="34"/>
      <c r="O11" s="34"/>
      <c r="P11" s="34"/>
      <c r="Q11" s="34"/>
      <c r="R11" s="34"/>
      <c r="S11" s="34"/>
      <c r="T11" s="11"/>
      <c r="U11" s="11"/>
      <c r="V11" s="11"/>
    </row>
    <row r="12" spans="1:25">
      <c r="A12" t="s">
        <v>52</v>
      </c>
      <c r="B12" s="28" t="s">
        <v>214</v>
      </c>
      <c r="C12" s="26"/>
      <c r="D12" s="26"/>
      <c r="E12" s="26"/>
      <c r="F12" s="26"/>
      <c r="G12" s="26"/>
      <c r="H12" s="26"/>
      <c r="I12" s="26"/>
      <c r="J12" s="26"/>
      <c r="K12" s="26"/>
      <c r="L12" s="26"/>
      <c r="M12" s="26"/>
      <c r="N12" s="26"/>
      <c r="O12" s="26"/>
      <c r="P12" s="26"/>
      <c r="Q12" s="26"/>
      <c r="R12" s="26"/>
      <c r="S12" s="26"/>
      <c r="T12" s="26"/>
      <c r="U12" s="26"/>
      <c r="V12" s="26"/>
    </row>
    <row r="13" spans="1:25">
      <c r="A13" t="s">
        <v>53</v>
      </c>
      <c r="B13" s="28" t="s">
        <v>215</v>
      </c>
      <c r="C13" s="26"/>
      <c r="D13" s="26"/>
      <c r="E13" s="26"/>
      <c r="F13" s="26"/>
      <c r="G13" s="26"/>
      <c r="H13" s="26"/>
      <c r="I13" s="26"/>
      <c r="J13" s="26"/>
      <c r="K13" s="26"/>
      <c r="L13" s="26"/>
      <c r="M13" s="26"/>
      <c r="N13" s="26"/>
      <c r="O13" s="26"/>
      <c r="P13" s="26"/>
      <c r="Q13" s="26"/>
      <c r="R13" s="26"/>
      <c r="S13" s="26"/>
      <c r="T13" s="26"/>
      <c r="U13" s="26"/>
      <c r="V13" s="26"/>
    </row>
    <row r="14" spans="1:25">
      <c r="A14" t="s">
        <v>54</v>
      </c>
      <c r="B14" s="18" t="s">
        <v>42</v>
      </c>
      <c r="C14" s="17"/>
      <c r="D14" s="17"/>
      <c r="E14" s="17"/>
      <c r="F14" s="17"/>
      <c r="G14" s="17"/>
      <c r="H14" s="17"/>
      <c r="I14" s="17"/>
      <c r="J14" s="17"/>
      <c r="K14" s="17"/>
      <c r="L14" s="17"/>
      <c r="M14" s="17"/>
      <c r="N14" s="17"/>
      <c r="O14" s="17"/>
      <c r="P14" s="17"/>
      <c r="Q14" s="17"/>
      <c r="R14" s="17"/>
      <c r="S14" s="17"/>
      <c r="T14" s="17"/>
      <c r="U14" s="17"/>
      <c r="V14" s="17"/>
    </row>
    <row r="15" spans="1:25">
      <c r="A15" t="s">
        <v>55</v>
      </c>
      <c r="B15" s="28" t="s">
        <v>217</v>
      </c>
      <c r="C15" s="26"/>
      <c r="D15" s="26"/>
      <c r="E15" s="26"/>
      <c r="F15" s="26"/>
      <c r="G15" s="26"/>
      <c r="H15" s="26"/>
      <c r="I15" s="26"/>
      <c r="J15" s="26"/>
      <c r="K15" s="26"/>
      <c r="L15" s="26"/>
      <c r="M15" s="26"/>
      <c r="N15" s="26"/>
      <c r="O15" s="26"/>
      <c r="P15" s="26"/>
      <c r="Q15" s="26"/>
      <c r="R15" s="26"/>
      <c r="S15" s="26"/>
      <c r="T15" s="26"/>
      <c r="U15" s="26"/>
      <c r="V15" s="26"/>
    </row>
    <row r="16" spans="1:25">
      <c r="A16" t="s">
        <v>56</v>
      </c>
      <c r="B16" s="18" t="s">
        <v>334</v>
      </c>
      <c r="C16" s="28"/>
      <c r="D16" s="28"/>
      <c r="E16" s="28"/>
      <c r="F16" s="28"/>
      <c r="G16" s="28"/>
      <c r="H16" s="28"/>
      <c r="I16" s="28"/>
      <c r="J16" s="28"/>
      <c r="K16" s="28"/>
      <c r="L16" s="28"/>
      <c r="M16" s="11"/>
      <c r="N16" s="11"/>
      <c r="O16" s="11"/>
      <c r="P16" s="11"/>
      <c r="Q16" s="11"/>
      <c r="R16" s="11"/>
      <c r="S16" s="11"/>
      <c r="T16" s="11"/>
      <c r="U16" s="11"/>
      <c r="V16" s="11"/>
    </row>
    <row r="17" spans="1:22">
      <c r="A17" t="s">
        <v>332</v>
      </c>
      <c r="B17" s="81" t="s">
        <v>336</v>
      </c>
      <c r="C17" s="28"/>
      <c r="D17" s="28"/>
      <c r="E17" s="28"/>
      <c r="F17" s="28"/>
      <c r="G17" s="28"/>
      <c r="H17" s="28"/>
      <c r="I17" s="28"/>
      <c r="J17" s="28"/>
      <c r="K17" s="28"/>
      <c r="L17" s="28"/>
      <c r="M17" s="11"/>
      <c r="N17" s="11"/>
      <c r="O17" s="11"/>
      <c r="P17" s="11"/>
      <c r="Q17" s="11"/>
      <c r="R17" s="11"/>
      <c r="S17" s="11"/>
      <c r="T17" s="11"/>
      <c r="U17" s="11"/>
      <c r="V17" s="11"/>
    </row>
    <row r="18" spans="1:22">
      <c r="A18" t="s">
        <v>57</v>
      </c>
      <c r="B18" s="28" t="s">
        <v>43</v>
      </c>
      <c r="C18" s="28"/>
      <c r="D18" s="28"/>
      <c r="E18" s="28"/>
      <c r="F18" s="28"/>
      <c r="G18" s="28"/>
      <c r="H18" s="28"/>
      <c r="I18" s="28"/>
      <c r="J18" s="28"/>
      <c r="K18" s="28"/>
      <c r="L18" s="28"/>
      <c r="M18" s="11"/>
      <c r="N18" s="11"/>
      <c r="O18" s="11"/>
      <c r="P18" s="11"/>
      <c r="Q18" s="11"/>
      <c r="R18" s="11"/>
      <c r="S18" s="11"/>
      <c r="T18" s="11"/>
      <c r="U18" s="11"/>
      <c r="V18" s="11"/>
    </row>
    <row r="19" spans="1:22">
      <c r="A19" t="s">
        <v>333</v>
      </c>
      <c r="B19" s="29" t="s">
        <v>44</v>
      </c>
      <c r="C19" s="18"/>
      <c r="D19" s="18"/>
      <c r="E19" s="18"/>
      <c r="F19" s="18"/>
      <c r="G19" s="18"/>
      <c r="H19" s="18"/>
      <c r="I19" s="18"/>
      <c r="J19" s="18"/>
      <c r="K19" s="18"/>
      <c r="L19" s="18"/>
      <c r="M19" s="11"/>
      <c r="N19" s="11"/>
      <c r="O19" s="11"/>
      <c r="P19" s="11"/>
      <c r="Q19" s="11"/>
      <c r="R19" s="11"/>
      <c r="S19" s="11"/>
      <c r="T19" s="11"/>
      <c r="U19" s="11"/>
      <c r="V19" s="11"/>
    </row>
    <row r="20" spans="1:22" ht="17.25">
      <c r="A20" t="s">
        <v>58</v>
      </c>
      <c r="B20" s="28" t="s">
        <v>218</v>
      </c>
      <c r="C20" s="35"/>
      <c r="D20" s="11"/>
      <c r="E20" s="11"/>
      <c r="F20" s="11"/>
      <c r="G20" s="11"/>
      <c r="H20" s="11"/>
      <c r="I20" s="11"/>
      <c r="J20" s="11"/>
      <c r="K20" s="11"/>
      <c r="L20" s="11"/>
      <c r="M20" s="11"/>
      <c r="N20" s="11"/>
      <c r="O20" s="11"/>
      <c r="P20" s="11"/>
      <c r="Q20" s="11"/>
      <c r="R20" s="11"/>
      <c r="S20" s="11"/>
      <c r="T20" s="11"/>
      <c r="U20" s="11"/>
      <c r="V20" s="11"/>
    </row>
    <row r="21" spans="1:22">
      <c r="A21" t="s">
        <v>59</v>
      </c>
      <c r="B21" s="28" t="s">
        <v>219</v>
      </c>
    </row>
    <row r="22" spans="1:22">
      <c r="A22" t="s">
        <v>60</v>
      </c>
      <c r="B22" s="28" t="s">
        <v>220</v>
      </c>
    </row>
    <row r="23" spans="1:22">
      <c r="A23" t="s">
        <v>61</v>
      </c>
      <c r="B23" s="18" t="s">
        <v>50</v>
      </c>
    </row>
  </sheetData>
  <hyperlinks>
    <hyperlink ref="B17" r:id="rId1" xr:uid="{CC240EA6-42F3-4C30-8C0B-D2D5C026C461}"/>
    <hyperlink ref="B19" r:id="rId2" xr:uid="{FF93E75B-20F0-46E4-B1B2-F5426068A926}"/>
  </hyperlinks>
  <pageMargins left="0.7" right="0.7" top="0.75" bottom="0.75" header="0.3" footer="0.3"/>
  <pageSetup paperSize="9" orientation="portrait" r:id="rId3"/>
  <tableParts count="1">
    <tablePart r:id="rId4"/>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7ACC-D6FC-4D58-9997-FFE5BC91D16F}">
  <sheetPr>
    <tabColor theme="2" tint="-0.249977111117893"/>
  </sheetPr>
  <dimension ref="A1:Y23"/>
  <sheetViews>
    <sheetView showGridLines="0" zoomScale="70" zoomScaleNormal="70" workbookViewId="0"/>
  </sheetViews>
  <sheetFormatPr defaultRowHeight="15"/>
  <cols>
    <col min="1" max="1" width="13.83203125" customWidth="1"/>
    <col min="2" max="2" width="59" customWidth="1"/>
  </cols>
  <sheetData>
    <row r="1" spans="1:25" ht="17.649999999999999">
      <c r="A1" s="12" t="s">
        <v>392</v>
      </c>
    </row>
    <row r="2" spans="1:25">
      <c r="A2" s="11" t="s">
        <v>159</v>
      </c>
    </row>
    <row r="3" spans="1:25" ht="31.5" customHeight="1">
      <c r="A3" s="11" t="s">
        <v>64</v>
      </c>
      <c r="C3" s="11"/>
    </row>
    <row r="4" spans="1:25" s="9" customFormat="1" ht="46.5" customHeight="1" thickBot="1">
      <c r="A4" s="31" t="s">
        <v>381</v>
      </c>
      <c r="B4" s="42"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row>
    <row r="5" spans="1:25" ht="21" customHeight="1">
      <c r="A5" s="2" t="s">
        <v>209</v>
      </c>
      <c r="B5" s="15" t="s">
        <v>205</v>
      </c>
      <c r="C5" s="73">
        <v>2694</v>
      </c>
      <c r="D5" s="73">
        <v>3379</v>
      </c>
      <c r="E5" s="73">
        <v>3515</v>
      </c>
      <c r="F5" s="73">
        <v>2731</v>
      </c>
      <c r="G5" s="73">
        <v>3893</v>
      </c>
      <c r="H5" s="73">
        <v>3912</v>
      </c>
      <c r="I5" s="73">
        <v>4593</v>
      </c>
      <c r="J5" s="73">
        <v>4364</v>
      </c>
      <c r="K5" s="73">
        <v>5977</v>
      </c>
      <c r="L5" s="73">
        <v>6323</v>
      </c>
      <c r="M5" s="73">
        <v>8166</v>
      </c>
      <c r="N5" s="73">
        <v>7574</v>
      </c>
      <c r="O5" s="73">
        <v>8399</v>
      </c>
      <c r="P5" s="73">
        <v>6235</v>
      </c>
      <c r="Q5" s="73">
        <v>4732</v>
      </c>
      <c r="R5" s="73">
        <v>4684</v>
      </c>
      <c r="S5" s="73">
        <v>4706</v>
      </c>
      <c r="T5" s="73">
        <v>5189</v>
      </c>
      <c r="U5" s="73">
        <v>5776</v>
      </c>
      <c r="V5" s="73">
        <v>5750</v>
      </c>
      <c r="W5" s="73">
        <v>6367</v>
      </c>
      <c r="X5" s="73">
        <v>6829</v>
      </c>
      <c r="Y5" s="73">
        <v>6767</v>
      </c>
    </row>
    <row r="6" spans="1:25" ht="20" customHeight="1">
      <c r="A6" s="10" t="s">
        <v>210</v>
      </c>
      <c r="B6" s="16" t="s">
        <v>382</v>
      </c>
      <c r="C6" s="73">
        <v>1823</v>
      </c>
      <c r="D6" s="73">
        <v>2446</v>
      </c>
      <c r="E6" s="73">
        <v>2467</v>
      </c>
      <c r="F6" s="73">
        <v>1844</v>
      </c>
      <c r="G6" s="73">
        <v>2591</v>
      </c>
      <c r="H6" s="73">
        <v>2591</v>
      </c>
      <c r="I6" s="73">
        <v>2991</v>
      </c>
      <c r="J6" s="73">
        <v>2773</v>
      </c>
      <c r="K6" s="73">
        <v>4489</v>
      </c>
      <c r="L6" s="73">
        <v>4840</v>
      </c>
      <c r="M6" s="73">
        <v>6867</v>
      </c>
      <c r="N6" s="73">
        <v>6443</v>
      </c>
      <c r="O6" s="73">
        <v>7154</v>
      </c>
      <c r="P6" s="73">
        <v>4090</v>
      </c>
      <c r="Q6" s="73">
        <v>2172</v>
      </c>
      <c r="R6" s="73">
        <v>2051</v>
      </c>
      <c r="S6" s="73">
        <v>1993</v>
      </c>
      <c r="T6" s="73">
        <v>2125</v>
      </c>
      <c r="U6" s="73">
        <v>2592</v>
      </c>
      <c r="V6" s="73">
        <v>2574</v>
      </c>
      <c r="W6" s="73">
        <v>3065</v>
      </c>
      <c r="X6" s="73">
        <v>3059</v>
      </c>
      <c r="Y6" s="73">
        <v>3060</v>
      </c>
    </row>
    <row r="7" spans="1:25" ht="20.55" customHeight="1">
      <c r="A7" s="10" t="s">
        <v>211</v>
      </c>
      <c r="B7" s="16" t="s">
        <v>383</v>
      </c>
      <c r="C7" s="73">
        <v>723</v>
      </c>
      <c r="D7" s="73">
        <v>760</v>
      </c>
      <c r="E7" s="73">
        <v>846</v>
      </c>
      <c r="F7" s="73">
        <v>647</v>
      </c>
      <c r="G7" s="73">
        <v>1013</v>
      </c>
      <c r="H7" s="73">
        <v>1046</v>
      </c>
      <c r="I7" s="73">
        <v>1214</v>
      </c>
      <c r="J7" s="73">
        <v>1166</v>
      </c>
      <c r="K7" s="73">
        <v>1064</v>
      </c>
      <c r="L7" s="73">
        <v>1071</v>
      </c>
      <c r="M7" s="73">
        <v>812</v>
      </c>
      <c r="N7" s="73">
        <v>677</v>
      </c>
      <c r="O7" s="73">
        <v>763</v>
      </c>
      <c r="P7" s="73">
        <v>1542</v>
      </c>
      <c r="Q7" s="73">
        <v>1785</v>
      </c>
      <c r="R7" s="73">
        <v>1860</v>
      </c>
      <c r="S7" s="73">
        <v>1846</v>
      </c>
      <c r="T7" s="73">
        <v>2175</v>
      </c>
      <c r="U7" s="73">
        <v>2099</v>
      </c>
      <c r="V7" s="73">
        <v>2179</v>
      </c>
      <c r="W7" s="73">
        <v>2227</v>
      </c>
      <c r="X7" s="73">
        <v>2537</v>
      </c>
      <c r="Y7" s="73">
        <v>2423</v>
      </c>
    </row>
    <row r="8" spans="1:25" ht="22.5" customHeight="1">
      <c r="A8" s="10" t="s">
        <v>212</v>
      </c>
      <c r="B8" s="16" t="s">
        <v>384</v>
      </c>
      <c r="C8" s="73">
        <v>148</v>
      </c>
      <c r="D8" s="73">
        <v>173</v>
      </c>
      <c r="E8" s="73">
        <v>202</v>
      </c>
      <c r="F8" s="73">
        <v>240</v>
      </c>
      <c r="G8" s="73">
        <v>289</v>
      </c>
      <c r="H8" s="73">
        <v>275</v>
      </c>
      <c r="I8" s="73">
        <v>388</v>
      </c>
      <c r="J8" s="73">
        <v>425</v>
      </c>
      <c r="K8" s="73">
        <v>424</v>
      </c>
      <c r="L8" s="73">
        <v>412</v>
      </c>
      <c r="M8" s="73">
        <v>487</v>
      </c>
      <c r="N8" s="73">
        <v>454</v>
      </c>
      <c r="O8" s="73">
        <v>482</v>
      </c>
      <c r="P8" s="73">
        <v>603</v>
      </c>
      <c r="Q8" s="73">
        <v>774</v>
      </c>
      <c r="R8" s="73">
        <v>772</v>
      </c>
      <c r="S8" s="73">
        <v>867</v>
      </c>
      <c r="T8" s="73">
        <v>889</v>
      </c>
      <c r="U8" s="73">
        <v>1086</v>
      </c>
      <c r="V8" s="73">
        <v>998</v>
      </c>
      <c r="W8" s="73">
        <v>1075</v>
      </c>
      <c r="X8" s="73">
        <v>1233</v>
      </c>
      <c r="Y8" s="73">
        <v>1284</v>
      </c>
    </row>
    <row r="9" spans="1:25">
      <c r="A9" t="s">
        <v>153</v>
      </c>
    </row>
    <row r="10" spans="1:25" ht="32.549999999999997" customHeight="1">
      <c r="A10" s="1" t="s">
        <v>38</v>
      </c>
    </row>
    <row r="11" spans="1:25">
      <c r="A11" t="s">
        <v>51</v>
      </c>
      <c r="B11" s="18" t="s">
        <v>335</v>
      </c>
      <c r="C11" s="28"/>
      <c r="D11" s="28"/>
      <c r="E11" s="28"/>
      <c r="F11" s="28"/>
      <c r="G11" s="28"/>
      <c r="H11" s="28"/>
      <c r="I11" s="28"/>
      <c r="J11" s="28"/>
      <c r="K11" s="28"/>
      <c r="L11" s="28"/>
      <c r="M11" s="34"/>
      <c r="N11" s="34"/>
      <c r="O11" s="34"/>
      <c r="P11" s="34"/>
      <c r="Q11" s="34"/>
      <c r="R11" s="34"/>
      <c r="S11" s="34"/>
      <c r="T11" s="11"/>
      <c r="U11" s="11"/>
      <c r="V11" s="11"/>
    </row>
    <row r="12" spans="1:25">
      <c r="A12" t="s">
        <v>52</v>
      </c>
      <c r="B12" s="28" t="s">
        <v>214</v>
      </c>
      <c r="C12" s="26"/>
      <c r="D12" s="26"/>
      <c r="E12" s="26"/>
      <c r="F12" s="26"/>
      <c r="G12" s="26"/>
      <c r="H12" s="26"/>
      <c r="I12" s="26"/>
      <c r="J12" s="26"/>
      <c r="K12" s="26"/>
      <c r="L12" s="26"/>
      <c r="M12" s="26"/>
      <c r="N12" s="26"/>
      <c r="O12" s="26"/>
      <c r="P12" s="26"/>
      <c r="Q12" s="26"/>
      <c r="R12" s="26"/>
      <c r="S12" s="26"/>
      <c r="T12" s="26"/>
      <c r="U12" s="26"/>
      <c r="V12" s="26"/>
    </row>
    <row r="13" spans="1:25">
      <c r="A13" t="s">
        <v>53</v>
      </c>
      <c r="B13" s="28" t="s">
        <v>215</v>
      </c>
      <c r="C13" s="26"/>
      <c r="D13" s="26"/>
      <c r="E13" s="26"/>
      <c r="F13" s="26"/>
      <c r="G13" s="26"/>
      <c r="H13" s="26"/>
      <c r="I13" s="26"/>
      <c r="J13" s="26"/>
      <c r="K13" s="26"/>
      <c r="L13" s="26"/>
      <c r="M13" s="26"/>
      <c r="N13" s="26"/>
      <c r="O13" s="26"/>
      <c r="P13" s="26"/>
      <c r="Q13" s="26"/>
      <c r="R13" s="26"/>
      <c r="S13" s="26"/>
      <c r="T13" s="26"/>
      <c r="U13" s="26"/>
      <c r="V13" s="26"/>
    </row>
    <row r="14" spans="1:25">
      <c r="A14" t="s">
        <v>54</v>
      </c>
      <c r="B14" s="18" t="s">
        <v>42</v>
      </c>
      <c r="C14" s="17"/>
      <c r="D14" s="17"/>
      <c r="E14" s="17"/>
      <c r="F14" s="17"/>
      <c r="G14" s="17"/>
      <c r="H14" s="17"/>
      <c r="I14" s="17"/>
      <c r="J14" s="17"/>
      <c r="K14" s="17"/>
      <c r="L14" s="17"/>
      <c r="M14" s="17"/>
      <c r="N14" s="17"/>
      <c r="O14" s="17"/>
      <c r="P14" s="17"/>
      <c r="Q14" s="17"/>
      <c r="R14" s="17"/>
      <c r="S14" s="17"/>
      <c r="T14" s="17"/>
      <c r="U14" s="17"/>
      <c r="V14" s="17"/>
    </row>
    <row r="15" spans="1:25">
      <c r="A15" t="s">
        <v>55</v>
      </c>
      <c r="B15" s="28" t="s">
        <v>217</v>
      </c>
      <c r="C15" s="26"/>
      <c r="D15" s="26"/>
      <c r="E15" s="26"/>
      <c r="F15" s="26"/>
      <c r="G15" s="26"/>
      <c r="H15" s="26"/>
      <c r="I15" s="26"/>
      <c r="J15" s="26"/>
      <c r="K15" s="26"/>
      <c r="L15" s="26"/>
      <c r="M15" s="26"/>
      <c r="N15" s="26"/>
      <c r="O15" s="26"/>
      <c r="P15" s="26"/>
      <c r="Q15" s="26"/>
      <c r="R15" s="26"/>
      <c r="S15" s="26"/>
      <c r="T15" s="26"/>
      <c r="U15" s="26"/>
      <c r="V15" s="26"/>
    </row>
    <row r="16" spans="1:25">
      <c r="A16" t="s">
        <v>56</v>
      </c>
      <c r="B16" s="18" t="s">
        <v>334</v>
      </c>
      <c r="C16" s="28"/>
      <c r="D16" s="28"/>
      <c r="E16" s="28"/>
      <c r="F16" s="28"/>
      <c r="G16" s="28"/>
      <c r="H16" s="28"/>
      <c r="I16" s="28"/>
      <c r="J16" s="28"/>
      <c r="K16" s="28"/>
      <c r="L16" s="28"/>
      <c r="M16" s="11"/>
      <c r="N16" s="11"/>
      <c r="O16" s="11"/>
      <c r="P16" s="11"/>
      <c r="Q16" s="11"/>
      <c r="R16" s="11"/>
      <c r="S16" s="11"/>
      <c r="T16" s="11"/>
      <c r="U16" s="11"/>
      <c r="V16" s="11"/>
    </row>
    <row r="17" spans="1:22">
      <c r="A17" t="s">
        <v>332</v>
      </c>
      <c r="B17" s="81" t="s">
        <v>336</v>
      </c>
      <c r="C17" s="28"/>
      <c r="D17" s="28"/>
      <c r="E17" s="28"/>
      <c r="F17" s="28"/>
      <c r="G17" s="28"/>
      <c r="H17" s="28"/>
      <c r="I17" s="28"/>
      <c r="J17" s="28"/>
      <c r="K17" s="28"/>
      <c r="L17" s="28"/>
      <c r="M17" s="11"/>
      <c r="N17" s="11"/>
      <c r="O17" s="11"/>
      <c r="P17" s="11"/>
      <c r="Q17" s="11"/>
      <c r="R17" s="11"/>
      <c r="S17" s="11"/>
      <c r="T17" s="11"/>
      <c r="U17" s="11"/>
      <c r="V17" s="11"/>
    </row>
    <row r="18" spans="1:22">
      <c r="A18" t="s">
        <v>57</v>
      </c>
      <c r="B18" s="28" t="s">
        <v>43</v>
      </c>
      <c r="C18" s="28"/>
      <c r="D18" s="28"/>
      <c r="E18" s="28"/>
      <c r="F18" s="28"/>
      <c r="G18" s="28"/>
      <c r="H18" s="28"/>
      <c r="I18" s="28"/>
      <c r="J18" s="28"/>
      <c r="K18" s="28"/>
      <c r="L18" s="28"/>
      <c r="M18" s="11"/>
      <c r="N18" s="11"/>
      <c r="O18" s="11"/>
      <c r="P18" s="11"/>
      <c r="Q18" s="11"/>
      <c r="R18" s="11"/>
      <c r="S18" s="11"/>
      <c r="T18" s="11"/>
      <c r="U18" s="11"/>
      <c r="V18" s="11"/>
    </row>
    <row r="19" spans="1:22">
      <c r="A19" t="s">
        <v>333</v>
      </c>
      <c r="B19" s="29" t="s">
        <v>44</v>
      </c>
      <c r="C19" s="18"/>
      <c r="D19" s="18"/>
      <c r="E19" s="18"/>
      <c r="F19" s="18"/>
      <c r="G19" s="18"/>
      <c r="H19" s="18"/>
      <c r="I19" s="18"/>
      <c r="J19" s="18"/>
      <c r="K19" s="18"/>
      <c r="L19" s="18"/>
      <c r="M19" s="11"/>
      <c r="N19" s="11"/>
      <c r="O19" s="11"/>
      <c r="P19" s="11"/>
      <c r="Q19" s="11"/>
      <c r="R19" s="11"/>
      <c r="S19" s="11"/>
      <c r="T19" s="11"/>
      <c r="U19" s="11"/>
      <c r="V19" s="11"/>
    </row>
    <row r="20" spans="1:22" ht="17.25">
      <c r="A20" t="s">
        <v>58</v>
      </c>
      <c r="B20" s="28" t="s">
        <v>218</v>
      </c>
      <c r="C20" s="35"/>
      <c r="D20" s="11"/>
      <c r="E20" s="11"/>
      <c r="F20" s="11"/>
      <c r="G20" s="11"/>
      <c r="H20" s="11"/>
      <c r="I20" s="11"/>
      <c r="J20" s="11"/>
      <c r="K20" s="11"/>
      <c r="L20" s="11"/>
      <c r="M20" s="11"/>
      <c r="N20" s="11"/>
      <c r="O20" s="11"/>
      <c r="P20" s="11"/>
      <c r="Q20" s="11"/>
      <c r="R20" s="11"/>
      <c r="S20" s="11"/>
      <c r="T20" s="11"/>
      <c r="U20" s="11"/>
      <c r="V20" s="11"/>
    </row>
    <row r="21" spans="1:22">
      <c r="A21" t="s">
        <v>59</v>
      </c>
      <c r="B21" s="28" t="s">
        <v>219</v>
      </c>
    </row>
    <row r="22" spans="1:22">
      <c r="A22" t="s">
        <v>60</v>
      </c>
      <c r="B22" s="28" t="s">
        <v>220</v>
      </c>
    </row>
    <row r="23" spans="1:22">
      <c r="A23" t="s">
        <v>61</v>
      </c>
      <c r="B23" s="18" t="s">
        <v>50</v>
      </c>
    </row>
  </sheetData>
  <hyperlinks>
    <hyperlink ref="B17" r:id="rId1" xr:uid="{A8C89616-E1E0-45EF-8BB2-E4475C362C57}"/>
    <hyperlink ref="B19" r:id="rId2" xr:uid="{B30DCA25-63CE-4E91-A34F-CE7B80101695}"/>
  </hyperlinks>
  <pageMargins left="0.7" right="0.7" top="0.75" bottom="0.75" header="0.3" footer="0.3"/>
  <pageSetup paperSize="9"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41784-259C-41FF-9AC4-18B8BA14D337}">
  <sheetPr>
    <tabColor theme="4" tint="0.59999389629810485"/>
  </sheetPr>
  <dimension ref="A1:Z24"/>
  <sheetViews>
    <sheetView showGridLines="0" tabSelected="1" zoomScale="70" zoomScaleNormal="70" workbookViewId="0"/>
  </sheetViews>
  <sheetFormatPr defaultRowHeight="15"/>
  <cols>
    <col min="1" max="1" width="13.83203125" customWidth="1"/>
    <col min="2" max="2" width="59" customWidth="1"/>
  </cols>
  <sheetData>
    <row r="1" spans="1:26" ht="17.649999999999999">
      <c r="A1" s="12" t="s">
        <v>222</v>
      </c>
    </row>
    <row r="2" spans="1:26">
      <c r="A2" s="11" t="s">
        <v>159</v>
      </c>
    </row>
    <row r="3" spans="1:26" ht="31.5" customHeight="1">
      <c r="A3" s="11" t="s">
        <v>64</v>
      </c>
      <c r="C3" s="11"/>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3">
        <v>65210</v>
      </c>
      <c r="D5" s="73">
        <v>69821</v>
      </c>
      <c r="E5" s="73">
        <v>74865</v>
      </c>
      <c r="F5" s="73">
        <v>78995</v>
      </c>
      <c r="G5" s="73">
        <v>84419</v>
      </c>
      <c r="H5" s="73">
        <v>91675</v>
      </c>
      <c r="I5" s="73">
        <v>101730</v>
      </c>
      <c r="J5" s="73">
        <v>110152</v>
      </c>
      <c r="K5" s="73">
        <v>117408</v>
      </c>
      <c r="L5" s="73">
        <v>127400</v>
      </c>
      <c r="M5" s="73">
        <v>133559</v>
      </c>
      <c r="N5" s="73">
        <v>144249</v>
      </c>
      <c r="O5" s="73">
        <v>156239</v>
      </c>
      <c r="P5" s="73">
        <v>160440</v>
      </c>
      <c r="Q5" s="73">
        <v>165547</v>
      </c>
      <c r="R5" s="73">
        <v>170971</v>
      </c>
      <c r="S5" s="73">
        <v>176474</v>
      </c>
      <c r="T5" s="73">
        <v>184367</v>
      </c>
      <c r="U5" s="73">
        <v>188773</v>
      </c>
      <c r="V5" s="73">
        <v>195519</v>
      </c>
      <c r="W5" s="73">
        <v>201074</v>
      </c>
      <c r="X5" s="73">
        <v>210005</v>
      </c>
      <c r="Y5" s="73">
        <v>222705</v>
      </c>
      <c r="Z5" s="73">
        <v>257564</v>
      </c>
    </row>
    <row r="6" spans="1:26">
      <c r="A6" s="3" t="s">
        <v>1</v>
      </c>
      <c r="B6" s="39" t="s">
        <v>7</v>
      </c>
      <c r="C6" s="73">
        <v>48914</v>
      </c>
      <c r="D6" s="73">
        <v>52542</v>
      </c>
      <c r="E6" s="73">
        <v>56918</v>
      </c>
      <c r="F6" s="73">
        <v>60149</v>
      </c>
      <c r="G6" s="73">
        <v>65521</v>
      </c>
      <c r="H6" s="73">
        <v>72641</v>
      </c>
      <c r="I6" s="73">
        <v>79574</v>
      </c>
      <c r="J6" s="73">
        <v>88147</v>
      </c>
      <c r="K6" s="73">
        <v>95071</v>
      </c>
      <c r="L6" s="73">
        <v>103311</v>
      </c>
      <c r="M6" s="73">
        <v>108618</v>
      </c>
      <c r="N6" s="73">
        <v>116780</v>
      </c>
      <c r="O6" s="73">
        <v>125980</v>
      </c>
      <c r="P6" s="73">
        <v>129068</v>
      </c>
      <c r="Q6" s="73">
        <v>133104</v>
      </c>
      <c r="R6" s="73">
        <v>136962</v>
      </c>
      <c r="S6" s="73">
        <v>140890</v>
      </c>
      <c r="T6" s="73">
        <v>147276</v>
      </c>
      <c r="U6" s="73">
        <v>150531</v>
      </c>
      <c r="V6" s="73">
        <v>156739</v>
      </c>
      <c r="W6" s="73">
        <v>160032</v>
      </c>
      <c r="X6" s="73">
        <v>166514</v>
      </c>
      <c r="Y6" s="73">
        <v>176732</v>
      </c>
      <c r="Z6" s="73">
        <v>213377</v>
      </c>
    </row>
    <row r="7" spans="1:26">
      <c r="A7" s="3" t="s">
        <v>2</v>
      </c>
      <c r="B7" s="39" t="s">
        <v>8</v>
      </c>
      <c r="C7" s="73">
        <v>2476</v>
      </c>
      <c r="D7" s="73">
        <v>2594</v>
      </c>
      <c r="E7" s="73">
        <v>2776</v>
      </c>
      <c r="F7" s="73">
        <v>3364</v>
      </c>
      <c r="G7" s="73">
        <v>3796</v>
      </c>
      <c r="H7" s="73">
        <v>3983</v>
      </c>
      <c r="I7" s="73">
        <v>4067</v>
      </c>
      <c r="J7" s="73">
        <v>4213</v>
      </c>
      <c r="K7" s="73">
        <v>4666</v>
      </c>
      <c r="L7" s="73">
        <v>4958</v>
      </c>
      <c r="M7" s="73">
        <v>5224</v>
      </c>
      <c r="N7" s="73">
        <v>5758</v>
      </c>
      <c r="O7" s="73">
        <v>5613</v>
      </c>
      <c r="P7" s="73">
        <v>5620</v>
      </c>
      <c r="Q7" s="73">
        <v>5804</v>
      </c>
      <c r="R7" s="73">
        <v>5951</v>
      </c>
      <c r="S7" s="73">
        <v>6090</v>
      </c>
      <c r="T7" s="73">
        <v>6289</v>
      </c>
      <c r="U7" s="73">
        <v>6182</v>
      </c>
      <c r="V7" s="73">
        <v>5480</v>
      </c>
      <c r="W7" s="73">
        <v>5988</v>
      </c>
      <c r="X7" s="73">
        <v>6313</v>
      </c>
      <c r="Y7" s="73">
        <v>6354</v>
      </c>
      <c r="Z7" s="73">
        <v>5756</v>
      </c>
    </row>
    <row r="8" spans="1:26">
      <c r="A8" s="3" t="s">
        <v>3</v>
      </c>
      <c r="B8" s="39" t="s">
        <v>9</v>
      </c>
      <c r="C8" s="73">
        <v>731</v>
      </c>
      <c r="D8" s="73">
        <v>804</v>
      </c>
      <c r="E8" s="73">
        <v>886</v>
      </c>
      <c r="F8" s="73">
        <v>996</v>
      </c>
      <c r="G8" s="73">
        <v>1079</v>
      </c>
      <c r="H8" s="73">
        <v>1195</v>
      </c>
      <c r="I8" s="73">
        <v>1369</v>
      </c>
      <c r="J8" s="73">
        <v>1374</v>
      </c>
      <c r="K8" s="73">
        <v>1504</v>
      </c>
      <c r="L8" s="73">
        <v>1661</v>
      </c>
      <c r="M8" s="73">
        <v>1681</v>
      </c>
      <c r="N8" s="73">
        <v>1814</v>
      </c>
      <c r="O8" s="73">
        <v>1841</v>
      </c>
      <c r="P8" s="73">
        <v>2015</v>
      </c>
      <c r="Q8" s="73">
        <v>2267</v>
      </c>
      <c r="R8" s="73">
        <v>2484</v>
      </c>
      <c r="S8" s="73">
        <v>2795</v>
      </c>
      <c r="T8" s="73">
        <v>2861</v>
      </c>
      <c r="U8" s="73">
        <v>3217</v>
      </c>
      <c r="V8" s="73">
        <v>3590</v>
      </c>
      <c r="W8" s="73">
        <v>4038</v>
      </c>
      <c r="X8" s="73">
        <v>4334</v>
      </c>
      <c r="Y8" s="73">
        <v>4911</v>
      </c>
      <c r="Z8" s="73">
        <v>5491</v>
      </c>
    </row>
    <row r="9" spans="1:26">
      <c r="A9" s="3" t="s">
        <v>4</v>
      </c>
      <c r="B9" s="39" t="s">
        <v>10</v>
      </c>
      <c r="C9" s="73">
        <v>761</v>
      </c>
      <c r="D9" s="73">
        <v>825</v>
      </c>
      <c r="E9" s="73">
        <v>739</v>
      </c>
      <c r="F9" s="73">
        <v>804</v>
      </c>
      <c r="G9" s="73">
        <v>801</v>
      </c>
      <c r="H9" s="73">
        <v>752</v>
      </c>
      <c r="I9" s="73">
        <v>693</v>
      </c>
      <c r="J9" s="73">
        <v>604</v>
      </c>
      <c r="K9" s="73">
        <v>638</v>
      </c>
      <c r="L9" s="73">
        <v>624</v>
      </c>
      <c r="M9" s="73">
        <v>698</v>
      </c>
      <c r="N9" s="73">
        <v>686</v>
      </c>
      <c r="O9" s="73">
        <v>628</v>
      </c>
      <c r="P9" s="73">
        <v>721</v>
      </c>
      <c r="Q9" s="73">
        <v>762</v>
      </c>
      <c r="R9" s="73">
        <v>774</v>
      </c>
      <c r="S9" s="73">
        <v>769</v>
      </c>
      <c r="T9" s="73">
        <v>764</v>
      </c>
      <c r="U9" s="73">
        <v>757</v>
      </c>
      <c r="V9" s="73">
        <v>709</v>
      </c>
      <c r="W9" s="73">
        <v>686</v>
      </c>
      <c r="X9" s="73">
        <v>672</v>
      </c>
      <c r="Y9" s="73">
        <v>672</v>
      </c>
      <c r="Z9" s="73">
        <v>648</v>
      </c>
    </row>
    <row r="10" spans="1:26">
      <c r="A10" s="3" t="s">
        <v>5</v>
      </c>
      <c r="B10" s="39" t="s">
        <v>11</v>
      </c>
      <c r="C10" s="73">
        <v>12328</v>
      </c>
      <c r="D10" s="73">
        <v>13056</v>
      </c>
      <c r="E10" s="73">
        <v>13545</v>
      </c>
      <c r="F10" s="73">
        <v>13682</v>
      </c>
      <c r="G10" s="73">
        <v>13222</v>
      </c>
      <c r="H10" s="73">
        <v>13104</v>
      </c>
      <c r="I10" s="73">
        <v>16026</v>
      </c>
      <c r="J10" s="73">
        <v>15814</v>
      </c>
      <c r="K10" s="73">
        <v>15529</v>
      </c>
      <c r="L10" s="73">
        <v>16845</v>
      </c>
      <c r="M10" s="73">
        <v>17338</v>
      </c>
      <c r="N10" s="73">
        <v>19210</v>
      </c>
      <c r="O10" s="73">
        <v>22177</v>
      </c>
      <c r="P10" s="73">
        <v>23017</v>
      </c>
      <c r="Q10" s="73">
        <v>23610</v>
      </c>
      <c r="R10" s="73">
        <v>24801</v>
      </c>
      <c r="S10" s="73">
        <v>25930</v>
      </c>
      <c r="T10" s="73">
        <v>27177</v>
      </c>
      <c r="U10" s="73">
        <v>28085</v>
      </c>
      <c r="V10" s="73">
        <v>29001</v>
      </c>
      <c r="W10" s="73">
        <v>30329</v>
      </c>
      <c r="X10" s="73">
        <v>32172</v>
      </c>
      <c r="Y10" s="73">
        <v>34036</v>
      </c>
      <c r="Z10" s="73">
        <v>32293</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t="s">
        <v>42</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36788BCA-69F9-45FB-B5C3-160213DE6BB7}"/>
    <hyperlink ref="B18" r:id="rId2" xr:uid="{D5CD2C7E-5946-47BD-8F75-535B887C31AD}"/>
  </hyperlinks>
  <pageMargins left="0.7" right="0.7" top="0.75" bottom="0.75" header="0.3" footer="0.3"/>
  <pageSetup paperSize="9"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70D2-00F2-488D-A76E-61AF214CA396}">
  <sheetPr>
    <tabColor theme="4" tint="0.59999389629810485"/>
  </sheetPr>
  <dimension ref="A1:Y24"/>
  <sheetViews>
    <sheetView showGridLines="0" zoomScale="70" zoomScaleNormal="70" workbookViewId="0"/>
  </sheetViews>
  <sheetFormatPr defaultRowHeight="15"/>
  <cols>
    <col min="1" max="1" width="13.83203125" customWidth="1"/>
    <col min="2" max="2" width="59" customWidth="1"/>
  </cols>
  <sheetData>
    <row r="1" spans="1:25" ht="17.649999999999999">
      <c r="A1" s="12" t="s">
        <v>395</v>
      </c>
    </row>
    <row r="2" spans="1:25">
      <c r="A2" s="11" t="s">
        <v>159</v>
      </c>
    </row>
    <row r="3" spans="1:25" ht="31.5" customHeight="1">
      <c r="A3" s="11" t="s">
        <v>64</v>
      </c>
      <c r="C3" s="11"/>
    </row>
    <row r="4" spans="1:25" s="9" customFormat="1" ht="46.5" customHeight="1" thickBot="1">
      <c r="A4" s="31" t="s">
        <v>12</v>
      </c>
      <c r="B4" s="8" t="s">
        <v>13</v>
      </c>
      <c r="C4" s="36" t="s">
        <v>15</v>
      </c>
      <c r="D4" s="36" t="s">
        <v>16</v>
      </c>
      <c r="E4" s="36" t="s">
        <v>17</v>
      </c>
      <c r="F4" s="36" t="s">
        <v>18</v>
      </c>
      <c r="G4" s="36" t="s">
        <v>19</v>
      </c>
      <c r="H4" s="36" t="s">
        <v>20</v>
      </c>
      <c r="I4" s="36" t="s">
        <v>21</v>
      </c>
      <c r="J4" s="36" t="s">
        <v>22</v>
      </c>
      <c r="K4" s="36" t="s">
        <v>23</v>
      </c>
      <c r="L4" s="36" t="s">
        <v>24</v>
      </c>
      <c r="M4" s="36" t="s">
        <v>25</v>
      </c>
      <c r="N4" s="36" t="s">
        <v>26</v>
      </c>
      <c r="O4" s="36" t="s">
        <v>27</v>
      </c>
      <c r="P4" s="36" t="s">
        <v>28</v>
      </c>
      <c r="Q4" s="36" t="s">
        <v>29</v>
      </c>
      <c r="R4" s="36" t="s">
        <v>30</v>
      </c>
      <c r="S4" s="36" t="s">
        <v>31</v>
      </c>
      <c r="T4" s="36" t="s">
        <v>32</v>
      </c>
      <c r="U4" s="36" t="s">
        <v>33</v>
      </c>
      <c r="V4" s="36" t="s">
        <v>34</v>
      </c>
      <c r="W4" s="36" t="s">
        <v>35</v>
      </c>
      <c r="X4" s="36" t="s">
        <v>36</v>
      </c>
      <c r="Y4" s="36" t="s">
        <v>37</v>
      </c>
    </row>
    <row r="5" spans="1:25">
      <c r="A5" s="4" t="s">
        <v>0</v>
      </c>
      <c r="B5" s="38" t="s">
        <v>6</v>
      </c>
      <c r="C5" s="75">
        <f>Table1a[[#This Row],[1998]]/Table1a[[#This Row],[1997]]-1</f>
        <v>7.0999999999999994E-2</v>
      </c>
      <c r="D5" s="75">
        <f>Table1a[[#This Row],[1999]]/Table1a[[#This Row],[1998]]-1</f>
        <v>7.1999999999999995E-2</v>
      </c>
      <c r="E5" s="75">
        <f>Table1a[[#This Row],[2000]]/Table1a[[#This Row],[1999]]-1</f>
        <v>5.5E-2</v>
      </c>
      <c r="F5" s="75">
        <f>Table1a[[#This Row],[2001]]/Table1a[[#This Row],[2000]]-1</f>
        <v>6.9000000000000006E-2</v>
      </c>
      <c r="G5" s="75">
        <f>Table1a[[#This Row],[2002]]/Table1a[[#This Row],[2001]]-1</f>
        <v>8.5999999999999993E-2</v>
      </c>
      <c r="H5" s="75">
        <f>Table1a[[#This Row],[2003]]/Table1a[[#This Row],[2002]]-1</f>
        <v>0.11</v>
      </c>
      <c r="I5" s="75">
        <f>Table1a[[#This Row],[2004]]/Table1a[[#This Row],[2003]]-1</f>
        <v>8.3000000000000004E-2</v>
      </c>
      <c r="J5" s="75">
        <f>Table1a[[#This Row],[2005]]/Table1a[[#This Row],[2004]]-1</f>
        <v>6.6000000000000003E-2</v>
      </c>
      <c r="K5" s="75">
        <f>Table1a[[#This Row],[2006]]/Table1a[[#This Row],[2005]]-1</f>
        <v>8.5000000000000006E-2</v>
      </c>
      <c r="L5" s="75">
        <f>Table1a[[#This Row],[2007]]/Table1a[[#This Row],[2006]]-1</f>
        <v>4.8000000000000001E-2</v>
      </c>
      <c r="M5" s="75">
        <f>Table1a[[#This Row],[2008]]/Table1a[[#This Row],[2007]]-1</f>
        <v>0.08</v>
      </c>
      <c r="N5" s="75">
        <f>Table1a[[#This Row],[2009]]/Table1a[[#This Row],[2008]]-1</f>
        <v>8.3000000000000004E-2</v>
      </c>
      <c r="O5" s="75">
        <f>Table1a[[#This Row],[2010]]/Table1a[[#This Row],[2009]]-1</f>
        <v>2.7E-2</v>
      </c>
      <c r="P5" s="75">
        <f>Table1a[[#This Row],[2011]]/Table1a[[#This Row],[2010]]-1</f>
        <v>3.2000000000000001E-2</v>
      </c>
      <c r="Q5" s="75">
        <f>Table1a[[#This Row],[2012]]/Table1a[[#This Row],[2011]]-1</f>
        <v>3.3000000000000002E-2</v>
      </c>
      <c r="R5" s="75">
        <f>Table1a[[#This Row],[2013]]/Table1a[[#This Row],[2012]]-1</f>
        <v>3.2000000000000001E-2</v>
      </c>
      <c r="S5" s="75">
        <f>Table1a[[#This Row],[2014]]/Table1a[[#This Row],[2013]]-1</f>
        <v>4.4999999999999998E-2</v>
      </c>
      <c r="T5" s="75">
        <f>Table1a[[#This Row],[2015]]/Table1a[[#This Row],[2014]]-1</f>
        <v>2.4E-2</v>
      </c>
      <c r="U5" s="75">
        <f>Table1a[[#This Row],[2016]]/Table1a[[#This Row],[2015]]-1</f>
        <v>3.5999999999999997E-2</v>
      </c>
      <c r="V5" s="75">
        <f>Table1a[[#This Row],[2017]]/Table1a[[#This Row],[2016]]-1</f>
        <v>2.8000000000000001E-2</v>
      </c>
      <c r="W5" s="75">
        <f>Table1a[[#This Row],[2018]]/Table1a[[#This Row],[2017]]-1</f>
        <v>4.3999999999999997E-2</v>
      </c>
      <c r="X5" s="75">
        <f>Table1a[[#This Row],[2019]]/Table1a[[#This Row],[2018]]-1</f>
        <v>0.06</v>
      </c>
      <c r="Y5" s="75">
        <f>Table1a[[#This Row],[2020]]/Table1a[[#This Row],[2019]]-1</f>
        <v>0.157</v>
      </c>
    </row>
    <row r="6" spans="1:25">
      <c r="A6" s="3" t="s">
        <v>1</v>
      </c>
      <c r="B6" s="39" t="s">
        <v>7</v>
      </c>
      <c r="C6" s="75">
        <f>Table1a[[#This Row],[1998]]/Table1a[[#This Row],[1997]]-1</f>
        <v>7.3999999999999996E-2</v>
      </c>
      <c r="D6" s="75">
        <f>Table1a[[#This Row],[1999]]/Table1a[[#This Row],[1998]]-1</f>
        <v>8.3000000000000004E-2</v>
      </c>
      <c r="E6" s="75">
        <f>Table1a[[#This Row],[2000]]/Table1a[[#This Row],[1999]]-1</f>
        <v>5.7000000000000002E-2</v>
      </c>
      <c r="F6" s="75">
        <f>Table1a[[#This Row],[2001]]/Table1a[[#This Row],[2000]]-1</f>
        <v>8.8999999999999996E-2</v>
      </c>
      <c r="G6" s="75">
        <f>Table1a[[#This Row],[2002]]/Table1a[[#This Row],[2001]]-1</f>
        <v>0.109</v>
      </c>
      <c r="H6" s="75">
        <f>Table1a[[#This Row],[2003]]/Table1a[[#This Row],[2002]]-1</f>
        <v>9.5000000000000001E-2</v>
      </c>
      <c r="I6" s="75">
        <f>Table1a[[#This Row],[2004]]/Table1a[[#This Row],[2003]]-1</f>
        <v>0.108</v>
      </c>
      <c r="J6" s="75">
        <f>Table1a[[#This Row],[2005]]/Table1a[[#This Row],[2004]]-1</f>
        <v>7.9000000000000001E-2</v>
      </c>
      <c r="K6" s="75">
        <f>Table1a[[#This Row],[2006]]/Table1a[[#This Row],[2005]]-1</f>
        <v>8.6999999999999994E-2</v>
      </c>
      <c r="L6" s="75">
        <f>Table1a[[#This Row],[2007]]/Table1a[[#This Row],[2006]]-1</f>
        <v>5.0999999999999997E-2</v>
      </c>
      <c r="M6" s="75">
        <f>Table1a[[#This Row],[2008]]/Table1a[[#This Row],[2007]]-1</f>
        <v>7.4999999999999997E-2</v>
      </c>
      <c r="N6" s="75">
        <f>Table1a[[#This Row],[2009]]/Table1a[[#This Row],[2008]]-1</f>
        <v>7.9000000000000001E-2</v>
      </c>
      <c r="O6" s="75">
        <f>Table1a[[#This Row],[2010]]/Table1a[[#This Row],[2009]]-1</f>
        <v>2.5000000000000001E-2</v>
      </c>
      <c r="P6" s="75">
        <f>Table1a[[#This Row],[2011]]/Table1a[[#This Row],[2010]]-1</f>
        <v>3.1E-2</v>
      </c>
      <c r="Q6" s="75">
        <f>Table1a[[#This Row],[2012]]/Table1a[[#This Row],[2011]]-1</f>
        <v>2.9000000000000001E-2</v>
      </c>
      <c r="R6" s="75">
        <f>Table1a[[#This Row],[2013]]/Table1a[[#This Row],[2012]]-1</f>
        <v>2.9000000000000001E-2</v>
      </c>
      <c r="S6" s="75">
        <f>Table1a[[#This Row],[2014]]/Table1a[[#This Row],[2013]]-1</f>
        <v>4.4999999999999998E-2</v>
      </c>
      <c r="T6" s="75">
        <f>Table1a[[#This Row],[2015]]/Table1a[[#This Row],[2014]]-1</f>
        <v>2.1999999999999999E-2</v>
      </c>
      <c r="U6" s="75">
        <f>Table1a[[#This Row],[2016]]/Table1a[[#This Row],[2015]]-1</f>
        <v>4.1000000000000002E-2</v>
      </c>
      <c r="V6" s="75">
        <f>Table1a[[#This Row],[2017]]/Table1a[[#This Row],[2016]]-1</f>
        <v>2.1000000000000001E-2</v>
      </c>
      <c r="W6" s="75">
        <f>Table1a[[#This Row],[2018]]/Table1a[[#This Row],[2017]]-1</f>
        <v>4.1000000000000002E-2</v>
      </c>
      <c r="X6" s="75">
        <f>Table1a[[#This Row],[2019]]/Table1a[[#This Row],[2018]]-1</f>
        <v>6.0999999999999999E-2</v>
      </c>
      <c r="Y6" s="75">
        <f>Table1a[[#This Row],[2020]]/Table1a[[#This Row],[2019]]-1</f>
        <v>0.20699999999999999</v>
      </c>
    </row>
    <row r="7" spans="1:25">
      <c r="A7" s="3" t="s">
        <v>2</v>
      </c>
      <c r="B7" s="39" t="s">
        <v>8</v>
      </c>
      <c r="C7" s="75">
        <f>Table1a[[#This Row],[1998]]/Table1a[[#This Row],[1997]]-1</f>
        <v>4.8000000000000001E-2</v>
      </c>
      <c r="D7" s="75">
        <f>Table1a[[#This Row],[1999]]/Table1a[[#This Row],[1998]]-1</f>
        <v>7.0000000000000007E-2</v>
      </c>
      <c r="E7" s="75">
        <f>Table1a[[#This Row],[2000]]/Table1a[[#This Row],[1999]]-1</f>
        <v>0.21199999999999999</v>
      </c>
      <c r="F7" s="75">
        <f>Table1a[[#This Row],[2001]]/Table1a[[#This Row],[2000]]-1</f>
        <v>0.128</v>
      </c>
      <c r="G7" s="75">
        <f>Table1a[[#This Row],[2002]]/Table1a[[#This Row],[2001]]-1</f>
        <v>4.9000000000000002E-2</v>
      </c>
      <c r="H7" s="75">
        <f>Table1a[[#This Row],[2003]]/Table1a[[#This Row],[2002]]-1</f>
        <v>2.1000000000000001E-2</v>
      </c>
      <c r="I7" s="75">
        <f>Table1a[[#This Row],[2004]]/Table1a[[#This Row],[2003]]-1</f>
        <v>3.5999999999999997E-2</v>
      </c>
      <c r="J7" s="75">
        <f>Table1a[[#This Row],[2005]]/Table1a[[#This Row],[2004]]-1</f>
        <v>0.108</v>
      </c>
      <c r="K7" s="75">
        <f>Table1a[[#This Row],[2006]]/Table1a[[#This Row],[2005]]-1</f>
        <v>6.3E-2</v>
      </c>
      <c r="L7" s="75">
        <f>Table1a[[#This Row],[2007]]/Table1a[[#This Row],[2006]]-1</f>
        <v>5.3999999999999999E-2</v>
      </c>
      <c r="M7" s="75">
        <f>Table1a[[#This Row],[2008]]/Table1a[[#This Row],[2007]]-1</f>
        <v>0.10199999999999999</v>
      </c>
      <c r="N7" s="75">
        <f>Table1a[[#This Row],[2009]]/Table1a[[#This Row],[2008]]-1</f>
        <v>-2.5000000000000001E-2</v>
      </c>
      <c r="O7" s="75">
        <f>Table1a[[#This Row],[2010]]/Table1a[[#This Row],[2009]]-1</f>
        <v>1E-3</v>
      </c>
      <c r="P7" s="75">
        <f>Table1a[[#This Row],[2011]]/Table1a[[#This Row],[2010]]-1</f>
        <v>3.3000000000000002E-2</v>
      </c>
      <c r="Q7" s="75">
        <f>Table1a[[#This Row],[2012]]/Table1a[[#This Row],[2011]]-1</f>
        <v>2.5000000000000001E-2</v>
      </c>
      <c r="R7" s="75">
        <f>Table1a[[#This Row],[2013]]/Table1a[[#This Row],[2012]]-1</f>
        <v>2.3E-2</v>
      </c>
      <c r="S7" s="75">
        <f>Table1a[[#This Row],[2014]]/Table1a[[#This Row],[2013]]-1</f>
        <v>3.3000000000000002E-2</v>
      </c>
      <c r="T7" s="75">
        <f>Table1a[[#This Row],[2015]]/Table1a[[#This Row],[2014]]-1</f>
        <v>-1.7000000000000001E-2</v>
      </c>
      <c r="U7" s="75">
        <f>Table1a[[#This Row],[2016]]/Table1a[[#This Row],[2015]]-1</f>
        <v>-0.114</v>
      </c>
      <c r="V7" s="75">
        <f>Table1a[[#This Row],[2017]]/Table1a[[#This Row],[2016]]-1</f>
        <v>9.2999999999999999E-2</v>
      </c>
      <c r="W7" s="75">
        <f>Table1a[[#This Row],[2018]]/Table1a[[#This Row],[2017]]-1</f>
        <v>5.3999999999999999E-2</v>
      </c>
      <c r="X7" s="75">
        <f>Table1a[[#This Row],[2019]]/Table1a[[#This Row],[2018]]-1</f>
        <v>6.0000000000000001E-3</v>
      </c>
      <c r="Y7" s="75">
        <f>Table1a[[#This Row],[2020]]/Table1a[[#This Row],[2019]]-1</f>
        <v>-9.4E-2</v>
      </c>
    </row>
    <row r="8" spans="1:25">
      <c r="A8" s="3" t="s">
        <v>3</v>
      </c>
      <c r="B8" s="39" t="s">
        <v>9</v>
      </c>
      <c r="C8" s="75">
        <f>Table1a[[#This Row],[1998]]/Table1a[[#This Row],[1997]]-1</f>
        <v>0.1</v>
      </c>
      <c r="D8" s="75">
        <f>Table1a[[#This Row],[1999]]/Table1a[[#This Row],[1998]]-1</f>
        <v>0.10199999999999999</v>
      </c>
      <c r="E8" s="75">
        <f>Table1a[[#This Row],[2000]]/Table1a[[#This Row],[1999]]-1</f>
        <v>0.124</v>
      </c>
      <c r="F8" s="75">
        <f>Table1a[[#This Row],[2001]]/Table1a[[#This Row],[2000]]-1</f>
        <v>8.3000000000000004E-2</v>
      </c>
      <c r="G8" s="75">
        <f>Table1a[[#This Row],[2002]]/Table1a[[#This Row],[2001]]-1</f>
        <v>0.108</v>
      </c>
      <c r="H8" s="75">
        <f>Table1a[[#This Row],[2003]]/Table1a[[#This Row],[2002]]-1</f>
        <v>0.14599999999999999</v>
      </c>
      <c r="I8" s="75">
        <f>Table1a[[#This Row],[2004]]/Table1a[[#This Row],[2003]]-1</f>
        <v>4.0000000000000001E-3</v>
      </c>
      <c r="J8" s="75">
        <f>Table1a[[#This Row],[2005]]/Table1a[[#This Row],[2004]]-1</f>
        <v>9.5000000000000001E-2</v>
      </c>
      <c r="K8" s="75">
        <f>Table1a[[#This Row],[2006]]/Table1a[[#This Row],[2005]]-1</f>
        <v>0.104</v>
      </c>
      <c r="L8" s="75">
        <f>Table1a[[#This Row],[2007]]/Table1a[[#This Row],[2006]]-1</f>
        <v>1.2E-2</v>
      </c>
      <c r="M8" s="75">
        <f>Table1a[[#This Row],[2008]]/Table1a[[#This Row],[2007]]-1</f>
        <v>7.9000000000000001E-2</v>
      </c>
      <c r="N8" s="75">
        <f>Table1a[[#This Row],[2009]]/Table1a[[#This Row],[2008]]-1</f>
        <v>1.4999999999999999E-2</v>
      </c>
      <c r="O8" s="75">
        <f>Table1a[[#This Row],[2010]]/Table1a[[#This Row],[2009]]-1</f>
        <v>9.5000000000000001E-2</v>
      </c>
      <c r="P8" s="75">
        <f>Table1a[[#This Row],[2011]]/Table1a[[#This Row],[2010]]-1</f>
        <v>0.125</v>
      </c>
      <c r="Q8" s="75">
        <f>Table1a[[#This Row],[2012]]/Table1a[[#This Row],[2011]]-1</f>
        <v>9.6000000000000002E-2</v>
      </c>
      <c r="R8" s="75">
        <f>Table1a[[#This Row],[2013]]/Table1a[[#This Row],[2012]]-1</f>
        <v>0.125</v>
      </c>
      <c r="S8" s="75">
        <f>Table1a[[#This Row],[2014]]/Table1a[[#This Row],[2013]]-1</f>
        <v>2.4E-2</v>
      </c>
      <c r="T8" s="75">
        <f>Table1a[[#This Row],[2015]]/Table1a[[#This Row],[2014]]-1</f>
        <v>0.124</v>
      </c>
      <c r="U8" s="75">
        <f>Table1a[[#This Row],[2016]]/Table1a[[#This Row],[2015]]-1</f>
        <v>0.11600000000000001</v>
      </c>
      <c r="V8" s="75">
        <f>Table1a[[#This Row],[2017]]/Table1a[[#This Row],[2016]]-1</f>
        <v>0.125</v>
      </c>
      <c r="W8" s="75">
        <f>Table1a[[#This Row],[2018]]/Table1a[[#This Row],[2017]]-1</f>
        <v>7.2999999999999995E-2</v>
      </c>
      <c r="X8" s="75">
        <f>Table1a[[#This Row],[2019]]/Table1a[[#This Row],[2018]]-1</f>
        <v>0.13300000000000001</v>
      </c>
      <c r="Y8" s="75">
        <f>Table1a[[#This Row],[2020]]/Table1a[[#This Row],[2019]]-1</f>
        <v>0.11799999999999999</v>
      </c>
    </row>
    <row r="9" spans="1:25">
      <c r="A9" s="3" t="s">
        <v>4</v>
      </c>
      <c r="B9" s="39" t="s">
        <v>10</v>
      </c>
      <c r="C9" s="75">
        <f>Table1a[[#This Row],[1998]]/Table1a[[#This Row],[1997]]-1</f>
        <v>8.4000000000000005E-2</v>
      </c>
      <c r="D9" s="75">
        <f>Table1a[[#This Row],[1999]]/Table1a[[#This Row],[1998]]-1</f>
        <v>-0.104</v>
      </c>
      <c r="E9" s="75">
        <f>Table1a[[#This Row],[2000]]/Table1a[[#This Row],[1999]]-1</f>
        <v>8.7999999999999995E-2</v>
      </c>
      <c r="F9" s="75">
        <f>Table1a[[#This Row],[2001]]/Table1a[[#This Row],[2000]]-1</f>
        <v>-4.0000000000000001E-3</v>
      </c>
      <c r="G9" s="75">
        <f>Table1a[[#This Row],[2002]]/Table1a[[#This Row],[2001]]-1</f>
        <v>-6.0999999999999999E-2</v>
      </c>
      <c r="H9" s="75">
        <f>Table1a[[#This Row],[2003]]/Table1a[[#This Row],[2002]]-1</f>
        <v>-7.8E-2</v>
      </c>
      <c r="I9" s="75">
        <f>Table1a[[#This Row],[2004]]/Table1a[[#This Row],[2003]]-1</f>
        <v>-0.128</v>
      </c>
      <c r="J9" s="75">
        <f>Table1a[[#This Row],[2005]]/Table1a[[#This Row],[2004]]-1</f>
        <v>5.6000000000000001E-2</v>
      </c>
      <c r="K9" s="75">
        <f>Table1a[[#This Row],[2006]]/Table1a[[#This Row],[2005]]-1</f>
        <v>-2.1999999999999999E-2</v>
      </c>
      <c r="L9" s="75">
        <f>Table1a[[#This Row],[2007]]/Table1a[[#This Row],[2006]]-1</f>
        <v>0.11899999999999999</v>
      </c>
      <c r="M9" s="75">
        <f>Table1a[[#This Row],[2008]]/Table1a[[#This Row],[2007]]-1</f>
        <v>-1.7000000000000001E-2</v>
      </c>
      <c r="N9" s="75">
        <f>Table1a[[#This Row],[2009]]/Table1a[[#This Row],[2008]]-1</f>
        <v>-8.5000000000000006E-2</v>
      </c>
      <c r="O9" s="75">
        <f>Table1a[[#This Row],[2010]]/Table1a[[#This Row],[2009]]-1</f>
        <v>0.14799999999999999</v>
      </c>
      <c r="P9" s="75">
        <f>Table1a[[#This Row],[2011]]/Table1a[[#This Row],[2010]]-1</f>
        <v>5.7000000000000002E-2</v>
      </c>
      <c r="Q9" s="75">
        <f>Table1a[[#This Row],[2012]]/Table1a[[#This Row],[2011]]-1</f>
        <v>1.6E-2</v>
      </c>
      <c r="R9" s="75">
        <f>Table1a[[#This Row],[2013]]/Table1a[[#This Row],[2012]]-1</f>
        <v>-6.0000000000000001E-3</v>
      </c>
      <c r="S9" s="75">
        <f>Table1a[[#This Row],[2014]]/Table1a[[#This Row],[2013]]-1</f>
        <v>-7.0000000000000001E-3</v>
      </c>
      <c r="T9" s="75">
        <f>Table1a[[#This Row],[2015]]/Table1a[[#This Row],[2014]]-1</f>
        <v>-8.9999999999999993E-3</v>
      </c>
      <c r="U9" s="75">
        <f>Table1a[[#This Row],[2016]]/Table1a[[#This Row],[2015]]-1</f>
        <v>-6.3E-2</v>
      </c>
      <c r="V9" s="75">
        <f>Table1a[[#This Row],[2017]]/Table1a[[#This Row],[2016]]-1</f>
        <v>-3.2000000000000001E-2</v>
      </c>
      <c r="W9" s="75">
        <f>Table1a[[#This Row],[2018]]/Table1a[[#This Row],[2017]]-1</f>
        <v>-0.02</v>
      </c>
      <c r="X9" s="75">
        <f>Table1a[[#This Row],[2019]]/Table1a[[#This Row],[2018]]-1</f>
        <v>0</v>
      </c>
      <c r="Y9" s="75">
        <f>Table1a[[#This Row],[2020]]/Table1a[[#This Row],[2019]]-1</f>
        <v>-3.5999999999999997E-2</v>
      </c>
    </row>
    <row r="10" spans="1:25">
      <c r="A10" s="3" t="s">
        <v>5</v>
      </c>
      <c r="B10" s="39" t="s">
        <v>11</v>
      </c>
      <c r="C10" s="75">
        <f>Table1a[[#This Row],[1998]]/Table1a[[#This Row],[1997]]-1</f>
        <v>5.8999999999999997E-2</v>
      </c>
      <c r="D10" s="75">
        <f>Table1a[[#This Row],[1999]]/Table1a[[#This Row],[1998]]-1</f>
        <v>3.6999999999999998E-2</v>
      </c>
      <c r="E10" s="75">
        <f>Table1a[[#This Row],[2000]]/Table1a[[#This Row],[1999]]-1</f>
        <v>0.01</v>
      </c>
      <c r="F10" s="75">
        <f>Table1a[[#This Row],[2001]]/Table1a[[#This Row],[2000]]-1</f>
        <v>-3.4000000000000002E-2</v>
      </c>
      <c r="G10" s="75">
        <f>Table1a[[#This Row],[2002]]/Table1a[[#This Row],[2001]]-1</f>
        <v>-8.9999999999999993E-3</v>
      </c>
      <c r="H10" s="75">
        <f>Table1a[[#This Row],[2003]]/Table1a[[#This Row],[2002]]-1</f>
        <v>0.223</v>
      </c>
      <c r="I10" s="75">
        <f>Table1a[[#This Row],[2004]]/Table1a[[#This Row],[2003]]-1</f>
        <v>-1.2999999999999999E-2</v>
      </c>
      <c r="J10" s="75">
        <f>Table1a[[#This Row],[2005]]/Table1a[[#This Row],[2004]]-1</f>
        <v>-1.7999999999999999E-2</v>
      </c>
      <c r="K10" s="75">
        <f>Table1a[[#This Row],[2006]]/Table1a[[#This Row],[2005]]-1</f>
        <v>8.5000000000000006E-2</v>
      </c>
      <c r="L10" s="75">
        <f>Table1a[[#This Row],[2007]]/Table1a[[#This Row],[2006]]-1</f>
        <v>2.9000000000000001E-2</v>
      </c>
      <c r="M10" s="75">
        <f>Table1a[[#This Row],[2008]]/Table1a[[#This Row],[2007]]-1</f>
        <v>0.108</v>
      </c>
      <c r="N10" s="75">
        <f>Table1a[[#This Row],[2009]]/Table1a[[#This Row],[2008]]-1</f>
        <v>0.154</v>
      </c>
      <c r="O10" s="75">
        <f>Table1a[[#This Row],[2010]]/Table1a[[#This Row],[2009]]-1</f>
        <v>3.7999999999999999E-2</v>
      </c>
      <c r="P10" s="75">
        <f>Table1a[[#This Row],[2011]]/Table1a[[#This Row],[2010]]-1</f>
        <v>2.5999999999999999E-2</v>
      </c>
      <c r="Q10" s="75">
        <f>Table1a[[#This Row],[2012]]/Table1a[[#This Row],[2011]]-1</f>
        <v>0.05</v>
      </c>
      <c r="R10" s="75">
        <f>Table1a[[#This Row],[2013]]/Table1a[[#This Row],[2012]]-1</f>
        <v>4.5999999999999999E-2</v>
      </c>
      <c r="S10" s="75">
        <f>Table1a[[#This Row],[2014]]/Table1a[[#This Row],[2013]]-1</f>
        <v>4.8000000000000001E-2</v>
      </c>
      <c r="T10" s="75">
        <f>Table1a[[#This Row],[2015]]/Table1a[[#This Row],[2014]]-1</f>
        <v>3.3000000000000002E-2</v>
      </c>
      <c r="U10" s="75">
        <f>Table1a[[#This Row],[2016]]/Table1a[[#This Row],[2015]]-1</f>
        <v>3.3000000000000002E-2</v>
      </c>
      <c r="V10" s="75">
        <f>Table1a[[#This Row],[2017]]/Table1a[[#This Row],[2016]]-1</f>
        <v>4.5999999999999999E-2</v>
      </c>
      <c r="W10" s="75">
        <f>Table1a[[#This Row],[2018]]/Table1a[[#This Row],[2017]]-1</f>
        <v>6.0999999999999999E-2</v>
      </c>
      <c r="X10" s="75">
        <f>Table1a[[#This Row],[2019]]/Table1a[[#This Row],[2018]]-1</f>
        <v>5.8000000000000003E-2</v>
      </c>
      <c r="Y10" s="75">
        <f>Table1a[[#This Row],[2020]]/Table1a[[#This Row],[2019]]-1</f>
        <v>-5.0999999999999997E-2</v>
      </c>
    </row>
    <row r="11" spans="1:25">
      <c r="A11" t="s">
        <v>153</v>
      </c>
    </row>
    <row r="12" spans="1:25" ht="32.549999999999997" customHeight="1">
      <c r="A12" s="1" t="s">
        <v>38</v>
      </c>
    </row>
    <row r="13" spans="1:25">
      <c r="A13" t="s">
        <v>51</v>
      </c>
      <c r="B13" t="s">
        <v>39</v>
      </c>
    </row>
    <row r="14" spans="1:25">
      <c r="A14" t="s">
        <v>52</v>
      </c>
      <c r="B14" t="s">
        <v>40</v>
      </c>
    </row>
    <row r="15" spans="1:25">
      <c r="A15" t="s">
        <v>325</v>
      </c>
      <c r="B15" s="19" t="s">
        <v>41</v>
      </c>
    </row>
    <row r="16" spans="1:25">
      <c r="A16" t="s">
        <v>53</v>
      </c>
      <c r="B16" t="s">
        <v>42</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D1AB2920-D933-47A2-B4C2-1D8ED89528FC}"/>
    <hyperlink ref="B18" r:id="rId2" xr:uid="{E2CBE9E5-DA75-4E7E-A852-F927A3785784}"/>
  </hyperlinks>
  <pageMargins left="0.7" right="0.7" top="0.75" bottom="0.75" header="0.3" footer="0.3"/>
  <pageSetup paperSize="9" orientation="portrait"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F9045-0009-4508-93BB-DD1074404C52}">
  <sheetPr>
    <tabColor theme="4" tint="0.59999389629810485"/>
  </sheetPr>
  <dimension ref="A1:Z24"/>
  <sheetViews>
    <sheetView showGridLines="0" zoomScale="70" zoomScaleNormal="70" workbookViewId="0"/>
  </sheetViews>
  <sheetFormatPr defaultRowHeight="15"/>
  <cols>
    <col min="1" max="1" width="13.83203125" customWidth="1"/>
    <col min="2" max="2" width="59" customWidth="1"/>
    <col min="3" max="3" width="9.38671875" bestFit="1" customWidth="1"/>
  </cols>
  <sheetData>
    <row r="1" spans="1:26" ht="17.649999999999999">
      <c r="A1" s="12" t="s">
        <v>160</v>
      </c>
    </row>
    <row r="2" spans="1:26">
      <c r="A2" s="11" t="s">
        <v>159</v>
      </c>
    </row>
    <row r="3" spans="1:26" ht="31.5" customHeight="1">
      <c r="A3" s="11" t="s">
        <v>64</v>
      </c>
      <c r="C3" s="11" t="s">
        <v>63</v>
      </c>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6">
        <v>1118</v>
      </c>
      <c r="D5" s="76">
        <v>1194</v>
      </c>
      <c r="E5" s="76">
        <v>1276</v>
      </c>
      <c r="F5" s="76">
        <v>1341</v>
      </c>
      <c r="G5" s="76">
        <v>1428</v>
      </c>
      <c r="H5" s="76">
        <v>1544</v>
      </c>
      <c r="I5" s="76">
        <v>1706</v>
      </c>
      <c r="J5" s="76">
        <v>1837</v>
      </c>
      <c r="K5" s="76">
        <v>1943</v>
      </c>
      <c r="L5" s="76">
        <v>2094</v>
      </c>
      <c r="M5" s="76">
        <v>2178</v>
      </c>
      <c r="N5" s="76">
        <v>2333</v>
      </c>
      <c r="O5" s="76">
        <v>2509</v>
      </c>
      <c r="P5" s="76">
        <v>2556</v>
      </c>
      <c r="Q5" s="76">
        <v>2616</v>
      </c>
      <c r="R5" s="76">
        <v>2684</v>
      </c>
      <c r="S5" s="76">
        <v>2753</v>
      </c>
      <c r="T5" s="76">
        <v>2854</v>
      </c>
      <c r="U5" s="76">
        <v>2899</v>
      </c>
      <c r="V5" s="76">
        <v>2978</v>
      </c>
      <c r="W5" s="76">
        <v>3045</v>
      </c>
      <c r="X5" s="76">
        <v>3161</v>
      </c>
      <c r="Y5" s="76">
        <v>3334</v>
      </c>
      <c r="Z5" s="76">
        <v>3840</v>
      </c>
    </row>
    <row r="6" spans="1:26">
      <c r="A6" s="3" t="s">
        <v>1</v>
      </c>
      <c r="B6" s="39" t="s">
        <v>7</v>
      </c>
      <c r="C6" s="76">
        <v>839</v>
      </c>
      <c r="D6" s="76">
        <v>899</v>
      </c>
      <c r="E6" s="76">
        <v>970</v>
      </c>
      <c r="F6" s="76">
        <v>1021</v>
      </c>
      <c r="G6" s="76">
        <v>1108</v>
      </c>
      <c r="H6" s="76">
        <v>1224</v>
      </c>
      <c r="I6" s="76">
        <v>1334</v>
      </c>
      <c r="J6" s="76">
        <v>1470</v>
      </c>
      <c r="K6" s="76">
        <v>1574</v>
      </c>
      <c r="L6" s="76">
        <v>1698</v>
      </c>
      <c r="M6" s="76">
        <v>1771</v>
      </c>
      <c r="N6" s="76">
        <v>1889</v>
      </c>
      <c r="O6" s="76">
        <v>2023</v>
      </c>
      <c r="P6" s="76">
        <v>2057</v>
      </c>
      <c r="Q6" s="76">
        <v>2103</v>
      </c>
      <c r="R6" s="76">
        <v>2150</v>
      </c>
      <c r="S6" s="76">
        <v>2198</v>
      </c>
      <c r="T6" s="76">
        <v>2280</v>
      </c>
      <c r="U6" s="76">
        <v>2312</v>
      </c>
      <c r="V6" s="76">
        <v>2388</v>
      </c>
      <c r="W6" s="76">
        <v>2423</v>
      </c>
      <c r="X6" s="76">
        <v>2506</v>
      </c>
      <c r="Y6" s="76">
        <v>2646</v>
      </c>
      <c r="Z6" s="76">
        <v>3181</v>
      </c>
    </row>
    <row r="7" spans="1:26">
      <c r="A7" s="3" t="s">
        <v>2</v>
      </c>
      <c r="B7" s="39" t="s">
        <v>8</v>
      </c>
      <c r="C7" s="76">
        <v>42</v>
      </c>
      <c r="D7" s="76">
        <v>44</v>
      </c>
      <c r="E7" s="76">
        <v>47</v>
      </c>
      <c r="F7" s="76">
        <v>57</v>
      </c>
      <c r="G7" s="76">
        <v>64</v>
      </c>
      <c r="H7" s="76">
        <v>67</v>
      </c>
      <c r="I7" s="76">
        <v>68</v>
      </c>
      <c r="J7" s="76">
        <v>70</v>
      </c>
      <c r="K7" s="76">
        <v>77</v>
      </c>
      <c r="L7" s="76">
        <v>82</v>
      </c>
      <c r="M7" s="76">
        <v>85</v>
      </c>
      <c r="N7" s="76">
        <v>93</v>
      </c>
      <c r="O7" s="76">
        <v>90</v>
      </c>
      <c r="P7" s="76">
        <v>90</v>
      </c>
      <c r="Q7" s="76">
        <v>92</v>
      </c>
      <c r="R7" s="76">
        <v>93</v>
      </c>
      <c r="S7" s="76">
        <v>95</v>
      </c>
      <c r="T7" s="76">
        <v>97</v>
      </c>
      <c r="U7" s="76">
        <v>95</v>
      </c>
      <c r="V7" s="76">
        <v>83</v>
      </c>
      <c r="W7" s="76">
        <v>91</v>
      </c>
      <c r="X7" s="76">
        <v>95</v>
      </c>
      <c r="Y7" s="76">
        <v>95</v>
      </c>
      <c r="Z7" s="76">
        <v>86</v>
      </c>
    </row>
    <row r="8" spans="1:26">
      <c r="A8" s="3" t="s">
        <v>3</v>
      </c>
      <c r="B8" s="39" t="s">
        <v>9</v>
      </c>
      <c r="C8" s="76">
        <v>13</v>
      </c>
      <c r="D8" s="76">
        <v>14</v>
      </c>
      <c r="E8" s="76">
        <v>15</v>
      </c>
      <c r="F8" s="76">
        <v>17</v>
      </c>
      <c r="G8" s="76">
        <v>18</v>
      </c>
      <c r="H8" s="76">
        <v>20</v>
      </c>
      <c r="I8" s="76">
        <v>23</v>
      </c>
      <c r="J8" s="76">
        <v>23</v>
      </c>
      <c r="K8" s="76">
        <v>25</v>
      </c>
      <c r="L8" s="76">
        <v>27</v>
      </c>
      <c r="M8" s="76">
        <v>27</v>
      </c>
      <c r="N8" s="76">
        <v>29</v>
      </c>
      <c r="O8" s="76">
        <v>30</v>
      </c>
      <c r="P8" s="76">
        <v>32</v>
      </c>
      <c r="Q8" s="76">
        <v>36</v>
      </c>
      <c r="R8" s="76">
        <v>39</v>
      </c>
      <c r="S8" s="76">
        <v>44</v>
      </c>
      <c r="T8" s="76">
        <v>44</v>
      </c>
      <c r="U8" s="76">
        <v>49</v>
      </c>
      <c r="V8" s="76">
        <v>55</v>
      </c>
      <c r="W8" s="76">
        <v>61</v>
      </c>
      <c r="X8" s="76">
        <v>65</v>
      </c>
      <c r="Y8" s="76">
        <v>74</v>
      </c>
      <c r="Z8" s="76">
        <v>82</v>
      </c>
    </row>
    <row r="9" spans="1:26">
      <c r="A9" s="3" t="s">
        <v>4</v>
      </c>
      <c r="B9" s="39" t="s">
        <v>10</v>
      </c>
      <c r="C9" s="76">
        <v>13</v>
      </c>
      <c r="D9" s="76">
        <v>14</v>
      </c>
      <c r="E9" s="76">
        <v>13</v>
      </c>
      <c r="F9" s="76">
        <v>14</v>
      </c>
      <c r="G9" s="76">
        <v>14</v>
      </c>
      <c r="H9" s="76">
        <v>13</v>
      </c>
      <c r="I9" s="76">
        <v>12</v>
      </c>
      <c r="J9" s="76">
        <v>10</v>
      </c>
      <c r="K9" s="76">
        <v>11</v>
      </c>
      <c r="L9" s="76">
        <v>10</v>
      </c>
      <c r="M9" s="76">
        <v>11</v>
      </c>
      <c r="N9" s="76">
        <v>11</v>
      </c>
      <c r="O9" s="76">
        <v>10</v>
      </c>
      <c r="P9" s="76">
        <v>11</v>
      </c>
      <c r="Q9" s="76">
        <v>12</v>
      </c>
      <c r="R9" s="76">
        <v>12</v>
      </c>
      <c r="S9" s="76">
        <v>12</v>
      </c>
      <c r="T9" s="76">
        <v>12</v>
      </c>
      <c r="U9" s="76">
        <v>12</v>
      </c>
      <c r="V9" s="76">
        <v>11</v>
      </c>
      <c r="W9" s="76">
        <v>10</v>
      </c>
      <c r="X9" s="76">
        <v>10</v>
      </c>
      <c r="Y9" s="76">
        <v>10</v>
      </c>
      <c r="Z9" s="76">
        <v>10</v>
      </c>
    </row>
    <row r="10" spans="1:26">
      <c r="A10" s="3" t="s">
        <v>5</v>
      </c>
      <c r="B10" s="39" t="s">
        <v>11</v>
      </c>
      <c r="C10" s="76">
        <v>211</v>
      </c>
      <c r="D10" s="76">
        <v>223</v>
      </c>
      <c r="E10" s="76">
        <v>231</v>
      </c>
      <c r="F10" s="76">
        <v>232</v>
      </c>
      <c r="G10" s="76">
        <v>224</v>
      </c>
      <c r="H10" s="76">
        <v>221</v>
      </c>
      <c r="I10" s="76">
        <v>269</v>
      </c>
      <c r="J10" s="76">
        <v>264</v>
      </c>
      <c r="K10" s="76">
        <v>257</v>
      </c>
      <c r="L10" s="76">
        <v>277</v>
      </c>
      <c r="M10" s="76">
        <v>283</v>
      </c>
      <c r="N10" s="76">
        <v>311</v>
      </c>
      <c r="O10" s="76">
        <v>356</v>
      </c>
      <c r="P10" s="76">
        <v>367</v>
      </c>
      <c r="Q10" s="76">
        <v>373</v>
      </c>
      <c r="R10" s="76">
        <v>389</v>
      </c>
      <c r="S10" s="76">
        <v>404</v>
      </c>
      <c r="T10" s="76">
        <v>421</v>
      </c>
      <c r="U10" s="76">
        <v>431</v>
      </c>
      <c r="V10" s="76">
        <v>442</v>
      </c>
      <c r="W10" s="76">
        <v>459</v>
      </c>
      <c r="X10" s="76">
        <v>484</v>
      </c>
      <c r="Y10" s="76">
        <v>510</v>
      </c>
      <c r="Z10" s="76">
        <v>481</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t="s">
        <v>42</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229A355C-DA04-453C-A4AF-3CF1706649AE}"/>
    <hyperlink ref="B18" r:id="rId2" xr:uid="{30017D87-F69E-4C49-A634-692914B01284}"/>
  </hyperlinks>
  <pageMargins left="0.7" right="0.7" top="0.75" bottom="0.75" header="0.3" footer="0.3"/>
  <pageSetup paperSize="9" orientation="portrait"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441B-4EB2-4AE9-A249-1B5FB3B9157F}">
  <sheetPr>
    <tabColor theme="4" tint="0.59999389629810485"/>
  </sheetPr>
  <dimension ref="A1:Z24"/>
  <sheetViews>
    <sheetView showGridLines="0" zoomScale="70" zoomScaleNormal="70" workbookViewId="0"/>
  </sheetViews>
  <sheetFormatPr defaultRowHeight="15"/>
  <cols>
    <col min="1" max="1" width="13.83203125" customWidth="1"/>
    <col min="2" max="2" width="59" customWidth="1"/>
  </cols>
  <sheetData>
    <row r="1" spans="1:26" ht="17.649999999999999">
      <c r="A1" s="12" t="s">
        <v>396</v>
      </c>
    </row>
    <row r="2" spans="1:26">
      <c r="A2" s="11" t="s">
        <v>159</v>
      </c>
    </row>
    <row r="3" spans="1:26" ht="31.5" customHeight="1">
      <c r="A3" s="11" t="s">
        <v>64</v>
      </c>
      <c r="C3" s="11"/>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4">
        <f>Table1a[[#This Row],[1997]]/'1a'!C$5</f>
        <v>1</v>
      </c>
      <c r="D5" s="74">
        <f>Table1a[[#This Row],[1998]]/Table1a[[#This Row],[1998]]</f>
        <v>1</v>
      </c>
      <c r="E5" s="74">
        <f>Table1a[[#This Row],[1999]]/Table1a[[#This Row],[1999]]</f>
        <v>1</v>
      </c>
      <c r="F5" s="74">
        <f>Table1a[[#This Row],[2000]]/Table1a[[#This Row],[2000]]</f>
        <v>1</v>
      </c>
      <c r="G5" s="74">
        <f>Table1a[[#This Row],[2001]]/Table1a[[#This Row],[2001]]</f>
        <v>1</v>
      </c>
      <c r="H5" s="74">
        <f>Table1a[[#This Row],[2002]]/Table1a[[#This Row],[2002]]</f>
        <v>1</v>
      </c>
      <c r="I5" s="74">
        <f>Table1a[[#This Row],[2003]]/Table1a[[#This Row],[2003]]</f>
        <v>1</v>
      </c>
      <c r="J5" s="74">
        <f>Table1a[[#This Row],[2004]]/Table1a[[#This Row],[2004]]</f>
        <v>1</v>
      </c>
      <c r="K5" s="74">
        <f>Table1a[[#This Row],[2005]]/Table1a[[#This Row],[2005]]</f>
        <v>1</v>
      </c>
      <c r="L5" s="74">
        <f>Table1a[[#This Row],[2006]]/Table1a[[#This Row],[2006]]</f>
        <v>1</v>
      </c>
      <c r="M5" s="74">
        <f>Table1a[[#This Row],[2007]]/Table1a[[#This Row],[2007]]</f>
        <v>1</v>
      </c>
      <c r="N5" s="74">
        <f>Table1a[[#This Row],[2008]]/Table1a[[#This Row],[2008]]</f>
        <v>1</v>
      </c>
      <c r="O5" s="74">
        <f>Table1a[[#This Row],[2009]]/Table1a[[#This Row],[2009]]</f>
        <v>1</v>
      </c>
      <c r="P5" s="74">
        <f>Table1a[[#This Row],[2010]]/Table1a[[#This Row],[2010]]</f>
        <v>1</v>
      </c>
      <c r="Q5" s="74">
        <f>Table1a[[#This Row],[2011]]/Table1a[[#This Row],[2011]]</f>
        <v>1</v>
      </c>
      <c r="R5" s="74">
        <f>Table1a[[#This Row],[2012]]/Table1a[[#This Row],[2012]]</f>
        <v>1</v>
      </c>
      <c r="S5" s="74">
        <f>Table1a[[#This Row],[2013]]/Table1a[[#This Row],[2013]]</f>
        <v>1</v>
      </c>
      <c r="T5" s="74">
        <f>Table1a[[#This Row],[2014]]/Table1a[[#This Row],[2014]]</f>
        <v>1</v>
      </c>
      <c r="U5" s="74">
        <f>Table1a[[#This Row],[2015]]/Table1a[[#This Row],[2015]]</f>
        <v>1</v>
      </c>
      <c r="V5" s="74">
        <f>Table1a[[#This Row],[2016]]/Table1a[[#This Row],[2016]]</f>
        <v>1</v>
      </c>
      <c r="W5" s="74">
        <f>Table1a[[#This Row],[2017]]/Table1a[[#This Row],[2017]]</f>
        <v>1</v>
      </c>
      <c r="X5" s="74">
        <f>Table1a[[#This Row],[2018]]/Table1a[[#This Row],[2018]]</f>
        <v>1</v>
      </c>
      <c r="Y5" s="74">
        <f>Table1a[[#This Row],[2019]]/Table1a[[#This Row],[2019]]</f>
        <v>1</v>
      </c>
      <c r="Z5" s="74">
        <f>Table1a[[#This Row],[2020]]/Table1a[[#This Row],[2020]]</f>
        <v>1</v>
      </c>
    </row>
    <row r="6" spans="1:26">
      <c r="A6" s="3" t="s">
        <v>1</v>
      </c>
      <c r="B6" s="39" t="s">
        <v>7</v>
      </c>
      <c r="C6" s="77">
        <f>Table1a[[#This Row],[1997]]/'1a'!C$5</f>
        <v>0.75</v>
      </c>
      <c r="D6" s="77">
        <f>Table1a[[#This Row],[1998]]/'1a'!D$5</f>
        <v>0.75</v>
      </c>
      <c r="E6" s="77">
        <f>Table1a[[#This Row],[1999]]/'1a'!E$5</f>
        <v>0.76</v>
      </c>
      <c r="F6" s="77">
        <f>Table1a[[#This Row],[2000]]/'1a'!F$5</f>
        <v>0.76</v>
      </c>
      <c r="G6" s="77">
        <f>Table1a[[#This Row],[2001]]/'1a'!G$5</f>
        <v>0.78</v>
      </c>
      <c r="H6" s="77">
        <f>Table1a[[#This Row],[2002]]/'1a'!H$5</f>
        <v>0.79</v>
      </c>
      <c r="I6" s="77">
        <f>Table1a[[#This Row],[2003]]/'1a'!I$5</f>
        <v>0.78</v>
      </c>
      <c r="J6" s="77">
        <f>Table1a[[#This Row],[2004]]/'1a'!J$5</f>
        <v>0.8</v>
      </c>
      <c r="K6" s="77">
        <f>Table1a[[#This Row],[2005]]/'1a'!K$5</f>
        <v>0.81</v>
      </c>
      <c r="L6" s="77">
        <f>Table1a[[#This Row],[2006]]/'1a'!L$5</f>
        <v>0.81</v>
      </c>
      <c r="M6" s="77">
        <f>Table1a[[#This Row],[2007]]/'1a'!M$5</f>
        <v>0.81</v>
      </c>
      <c r="N6" s="77">
        <f>Table1a[[#This Row],[2008]]/'1a'!N$5</f>
        <v>0.81</v>
      </c>
      <c r="O6" s="77">
        <f>Table1a[[#This Row],[2009]]/'1a'!O$5</f>
        <v>0.81</v>
      </c>
      <c r="P6" s="77">
        <f>Table1a[[#This Row],[2010]]/'1a'!P$5</f>
        <v>0.8</v>
      </c>
      <c r="Q6" s="77">
        <f>Table1a[[#This Row],[2011]]/'1a'!Q$5</f>
        <v>0.8</v>
      </c>
      <c r="R6" s="77">
        <f>Table1a[[#This Row],[2012]]/'1a'!R$5</f>
        <v>0.8</v>
      </c>
      <c r="S6" s="77">
        <f>Table1a[[#This Row],[2013]]/'1a'!S$5</f>
        <v>0.8</v>
      </c>
      <c r="T6" s="77">
        <f>Table1a[[#This Row],[2014]]/'1a'!T$5</f>
        <v>0.8</v>
      </c>
      <c r="U6" s="77">
        <f>Table1a[[#This Row],[2015]]/'1a'!U$5</f>
        <v>0.8</v>
      </c>
      <c r="V6" s="77">
        <f>Table1a[[#This Row],[2016]]/'1a'!V$5</f>
        <v>0.8</v>
      </c>
      <c r="W6" s="77">
        <f>Table1a[[#This Row],[2017]]/'1a'!W$5</f>
        <v>0.8</v>
      </c>
      <c r="X6" s="77">
        <f>Table1a[[#This Row],[2018]]/'1a'!X$5</f>
        <v>0.79</v>
      </c>
      <c r="Y6" s="77">
        <f>Table1a[[#This Row],[2019]]/'1a'!Y$5</f>
        <v>0.79</v>
      </c>
      <c r="Z6" s="77">
        <f>Table1a[[#This Row],[2020]]/'1a'!Z$5</f>
        <v>0.83</v>
      </c>
    </row>
    <row r="7" spans="1:26">
      <c r="A7" s="3" t="s">
        <v>2</v>
      </c>
      <c r="B7" s="39" t="s">
        <v>8</v>
      </c>
      <c r="C7" s="77">
        <f>Table1a[[#This Row],[1997]]/'1a'!C$5</f>
        <v>0.04</v>
      </c>
      <c r="D7" s="77">
        <f>Table1a[[#This Row],[1998]]/'1a'!D$5</f>
        <v>0.04</v>
      </c>
      <c r="E7" s="77">
        <f>Table1a[[#This Row],[1999]]/'1a'!E$5</f>
        <v>0.04</v>
      </c>
      <c r="F7" s="77">
        <f>Table1a[[#This Row],[2000]]/'1a'!F$5</f>
        <v>0.04</v>
      </c>
      <c r="G7" s="77">
        <f>Table1a[[#This Row],[2001]]/'1a'!G$5</f>
        <v>0.04</v>
      </c>
      <c r="H7" s="77">
        <f>Table1a[[#This Row],[2002]]/'1a'!H$5</f>
        <v>0.04</v>
      </c>
      <c r="I7" s="77">
        <f>Table1a[[#This Row],[2003]]/'1a'!I$5</f>
        <v>0.04</v>
      </c>
      <c r="J7" s="77">
        <f>Table1a[[#This Row],[2004]]/'1a'!J$5</f>
        <v>0.04</v>
      </c>
      <c r="K7" s="77">
        <f>Table1a[[#This Row],[2005]]/'1a'!K$5</f>
        <v>0.04</v>
      </c>
      <c r="L7" s="77">
        <f>Table1a[[#This Row],[2006]]/'1a'!L$5</f>
        <v>0.04</v>
      </c>
      <c r="M7" s="77">
        <f>Table1a[[#This Row],[2007]]/'1a'!M$5</f>
        <v>0.04</v>
      </c>
      <c r="N7" s="77">
        <f>Table1a[[#This Row],[2008]]/'1a'!N$5</f>
        <v>0.04</v>
      </c>
      <c r="O7" s="77">
        <f>Table1a[[#This Row],[2009]]/'1a'!O$5</f>
        <v>0.04</v>
      </c>
      <c r="P7" s="77">
        <f>Table1a[[#This Row],[2010]]/'1a'!P$5</f>
        <v>0.04</v>
      </c>
      <c r="Q7" s="77">
        <f>Table1a[[#This Row],[2011]]/'1a'!Q$5</f>
        <v>0.04</v>
      </c>
      <c r="R7" s="77">
        <f>Table1a[[#This Row],[2012]]/'1a'!R$5</f>
        <v>0.03</v>
      </c>
      <c r="S7" s="77">
        <f>Table1a[[#This Row],[2013]]/'1a'!S$5</f>
        <v>0.03</v>
      </c>
      <c r="T7" s="77">
        <f>Table1a[[#This Row],[2014]]/'1a'!T$5</f>
        <v>0.03</v>
      </c>
      <c r="U7" s="77">
        <f>Table1a[[#This Row],[2015]]/'1a'!U$5</f>
        <v>0.03</v>
      </c>
      <c r="V7" s="77">
        <f>Table1a[[#This Row],[2016]]/'1a'!V$5</f>
        <v>0.03</v>
      </c>
      <c r="W7" s="77">
        <f>Table1a[[#This Row],[2017]]/'1a'!W$5</f>
        <v>0.03</v>
      </c>
      <c r="X7" s="77">
        <f>Table1a[[#This Row],[2018]]/'1a'!X$5</f>
        <v>0.03</v>
      </c>
      <c r="Y7" s="77">
        <f>Table1a[[#This Row],[2019]]/'1a'!Y$5</f>
        <v>0.03</v>
      </c>
      <c r="Z7" s="77">
        <f>Table1a[[#This Row],[2020]]/'1a'!Z$5</f>
        <v>0.02</v>
      </c>
    </row>
    <row r="8" spans="1:26">
      <c r="A8" s="3" t="s">
        <v>3</v>
      </c>
      <c r="B8" s="39" t="s">
        <v>9</v>
      </c>
      <c r="C8" s="77">
        <f>Table1a[[#This Row],[1997]]/'1a'!C$5</f>
        <v>0.01</v>
      </c>
      <c r="D8" s="77">
        <f>Table1a[[#This Row],[1998]]/'1a'!D$5</f>
        <v>0.01</v>
      </c>
      <c r="E8" s="77">
        <f>Table1a[[#This Row],[1999]]/'1a'!E$5</f>
        <v>0.01</v>
      </c>
      <c r="F8" s="77">
        <f>Table1a[[#This Row],[2000]]/'1a'!F$5</f>
        <v>0.01</v>
      </c>
      <c r="G8" s="77">
        <f>Table1a[[#This Row],[2001]]/'1a'!G$5</f>
        <v>0.01</v>
      </c>
      <c r="H8" s="77">
        <f>Table1a[[#This Row],[2002]]/'1a'!H$5</f>
        <v>0.01</v>
      </c>
      <c r="I8" s="77">
        <f>Table1a[[#This Row],[2003]]/'1a'!I$5</f>
        <v>0.01</v>
      </c>
      <c r="J8" s="77">
        <f>Table1a[[#This Row],[2004]]/'1a'!J$5</f>
        <v>0.01</v>
      </c>
      <c r="K8" s="77">
        <f>Table1a[[#This Row],[2005]]/'1a'!K$5</f>
        <v>0.01</v>
      </c>
      <c r="L8" s="77">
        <f>Table1a[[#This Row],[2006]]/'1a'!L$5</f>
        <v>0.01</v>
      </c>
      <c r="M8" s="77">
        <f>Table1a[[#This Row],[2007]]/'1a'!M$5</f>
        <v>0.01</v>
      </c>
      <c r="N8" s="77">
        <f>Table1a[[#This Row],[2008]]/'1a'!N$5</f>
        <v>0.01</v>
      </c>
      <c r="O8" s="77">
        <f>Table1a[[#This Row],[2009]]/'1a'!O$5</f>
        <v>0.01</v>
      </c>
      <c r="P8" s="77">
        <f>Table1a[[#This Row],[2010]]/'1a'!P$5</f>
        <v>0.01</v>
      </c>
      <c r="Q8" s="77">
        <f>Table1a[[#This Row],[2011]]/'1a'!Q$5</f>
        <v>0.01</v>
      </c>
      <c r="R8" s="77">
        <f>Table1a[[#This Row],[2012]]/'1a'!R$5</f>
        <v>0.01</v>
      </c>
      <c r="S8" s="77">
        <f>Table1a[[#This Row],[2013]]/'1a'!S$5</f>
        <v>0.02</v>
      </c>
      <c r="T8" s="77">
        <f>Table1a[[#This Row],[2014]]/'1a'!T$5</f>
        <v>0.02</v>
      </c>
      <c r="U8" s="77">
        <f>Table1a[[#This Row],[2015]]/'1a'!U$5</f>
        <v>0.02</v>
      </c>
      <c r="V8" s="77">
        <f>Table1a[[#This Row],[2016]]/'1a'!V$5</f>
        <v>0.02</v>
      </c>
      <c r="W8" s="77">
        <f>Table1a[[#This Row],[2017]]/'1a'!W$5</f>
        <v>0.02</v>
      </c>
      <c r="X8" s="77">
        <f>Table1a[[#This Row],[2018]]/'1a'!X$5</f>
        <v>0.02</v>
      </c>
      <c r="Y8" s="77">
        <f>Table1a[[#This Row],[2019]]/'1a'!Y$5</f>
        <v>0.02</v>
      </c>
      <c r="Z8" s="77">
        <f>Table1a[[#This Row],[2020]]/'1a'!Z$5</f>
        <v>0.02</v>
      </c>
    </row>
    <row r="9" spans="1:26">
      <c r="A9" s="3" t="s">
        <v>4</v>
      </c>
      <c r="B9" s="39" t="s">
        <v>10</v>
      </c>
      <c r="C9" s="77">
        <f>Table1a[[#This Row],[1997]]/'1a'!C$5</f>
        <v>0.01</v>
      </c>
      <c r="D9" s="77">
        <f>Table1a[[#This Row],[1998]]/'1a'!D$5</f>
        <v>0.01</v>
      </c>
      <c r="E9" s="77">
        <f>Table1a[[#This Row],[1999]]/'1a'!E$5</f>
        <v>0.01</v>
      </c>
      <c r="F9" s="77">
        <f>Table1a[[#This Row],[2000]]/'1a'!F$5</f>
        <v>0.01</v>
      </c>
      <c r="G9" s="77">
        <f>Table1a[[#This Row],[2001]]/'1a'!G$5</f>
        <v>0.01</v>
      </c>
      <c r="H9" s="77">
        <f>Table1a[[#This Row],[2002]]/'1a'!H$5</f>
        <v>0.01</v>
      </c>
      <c r="I9" s="77">
        <f>Table1a[[#This Row],[2003]]/'1a'!I$5</f>
        <v>0.01</v>
      </c>
      <c r="J9" s="77">
        <f>Table1a[[#This Row],[2004]]/'1a'!J$5</f>
        <v>0.01</v>
      </c>
      <c r="K9" s="77">
        <f>Table1a[[#This Row],[2005]]/'1a'!K$5</f>
        <v>0.01</v>
      </c>
      <c r="L9" s="77">
        <f>Table1a[[#This Row],[2006]]/'1a'!L$5</f>
        <v>0</v>
      </c>
      <c r="M9" s="77">
        <f>Table1a[[#This Row],[2007]]/'1a'!M$5</f>
        <v>0.01</v>
      </c>
      <c r="N9" s="77">
        <f>Table1a[[#This Row],[2008]]/'1a'!N$5</f>
        <v>0</v>
      </c>
      <c r="O9" s="77">
        <f>Table1a[[#This Row],[2009]]/'1a'!O$5</f>
        <v>0</v>
      </c>
      <c r="P9" s="77">
        <f>Table1a[[#This Row],[2010]]/'1a'!P$5</f>
        <v>0</v>
      </c>
      <c r="Q9" s="77">
        <f>Table1a[[#This Row],[2011]]/'1a'!Q$5</f>
        <v>0</v>
      </c>
      <c r="R9" s="77">
        <f>Table1a[[#This Row],[2012]]/'1a'!R$5</f>
        <v>0</v>
      </c>
      <c r="S9" s="77">
        <f>Table1a[[#This Row],[2013]]/'1a'!S$5</f>
        <v>0</v>
      </c>
      <c r="T9" s="77">
        <f>Table1a[[#This Row],[2014]]/'1a'!T$5</f>
        <v>0</v>
      </c>
      <c r="U9" s="77">
        <f>Table1a[[#This Row],[2015]]/'1a'!U$5</f>
        <v>0</v>
      </c>
      <c r="V9" s="77">
        <f>Table1a[[#This Row],[2016]]/'1a'!V$5</f>
        <v>0</v>
      </c>
      <c r="W9" s="77">
        <f>Table1a[[#This Row],[2017]]/'1a'!W$5</f>
        <v>0</v>
      </c>
      <c r="X9" s="77">
        <f>Table1a[[#This Row],[2018]]/'1a'!X$5</f>
        <v>0</v>
      </c>
      <c r="Y9" s="77">
        <f>Table1a[[#This Row],[2019]]/'1a'!Y$5</f>
        <v>0</v>
      </c>
      <c r="Z9" s="77">
        <f>Table1a[[#This Row],[2020]]/'1a'!Z$5</f>
        <v>0</v>
      </c>
    </row>
    <row r="10" spans="1:26">
      <c r="A10" s="3" t="s">
        <v>5</v>
      </c>
      <c r="B10" s="39" t="s">
        <v>11</v>
      </c>
      <c r="C10" s="77">
        <f>Table1a[[#This Row],[1997]]/'1a'!C$5</f>
        <v>0.19</v>
      </c>
      <c r="D10" s="77">
        <f>Table1a[[#This Row],[1998]]/'1a'!D$5</f>
        <v>0.19</v>
      </c>
      <c r="E10" s="77">
        <f>Table1a[[#This Row],[1999]]/'1a'!E$5</f>
        <v>0.18</v>
      </c>
      <c r="F10" s="77">
        <f>Table1a[[#This Row],[2000]]/'1a'!F$5</f>
        <v>0.17</v>
      </c>
      <c r="G10" s="77">
        <f>Table1a[[#This Row],[2001]]/'1a'!G$5</f>
        <v>0.16</v>
      </c>
      <c r="H10" s="77">
        <f>Table1a[[#This Row],[2002]]/'1a'!H$5</f>
        <v>0.14000000000000001</v>
      </c>
      <c r="I10" s="77">
        <f>Table1a[[#This Row],[2003]]/'1a'!I$5</f>
        <v>0.16</v>
      </c>
      <c r="J10" s="77">
        <f>Table1a[[#This Row],[2004]]/'1a'!J$5</f>
        <v>0.14000000000000001</v>
      </c>
      <c r="K10" s="77">
        <f>Table1a[[#This Row],[2005]]/'1a'!K$5</f>
        <v>0.13</v>
      </c>
      <c r="L10" s="77">
        <f>Table1a[[#This Row],[2006]]/'1a'!L$5</f>
        <v>0.13</v>
      </c>
      <c r="M10" s="77">
        <f>Table1a[[#This Row],[2007]]/'1a'!M$5</f>
        <v>0.13</v>
      </c>
      <c r="N10" s="77">
        <f>Table1a[[#This Row],[2008]]/'1a'!N$5</f>
        <v>0.13</v>
      </c>
      <c r="O10" s="77">
        <f>Table1a[[#This Row],[2009]]/'1a'!O$5</f>
        <v>0.14000000000000001</v>
      </c>
      <c r="P10" s="77">
        <f>Table1a[[#This Row],[2010]]/'1a'!P$5</f>
        <v>0.14000000000000001</v>
      </c>
      <c r="Q10" s="77">
        <f>Table1a[[#This Row],[2011]]/'1a'!Q$5</f>
        <v>0.14000000000000001</v>
      </c>
      <c r="R10" s="77">
        <f>Table1a[[#This Row],[2012]]/'1a'!R$5</f>
        <v>0.15</v>
      </c>
      <c r="S10" s="77">
        <f>Table1a[[#This Row],[2013]]/'1a'!S$5</f>
        <v>0.15</v>
      </c>
      <c r="T10" s="77">
        <f>Table1a[[#This Row],[2014]]/'1a'!T$5</f>
        <v>0.15</v>
      </c>
      <c r="U10" s="77">
        <f>Table1a[[#This Row],[2015]]/'1a'!U$5</f>
        <v>0.15</v>
      </c>
      <c r="V10" s="77">
        <f>Table1a[[#This Row],[2016]]/'1a'!V$5</f>
        <v>0.15</v>
      </c>
      <c r="W10" s="77">
        <f>Table1a[[#This Row],[2017]]/'1a'!W$5</f>
        <v>0.15</v>
      </c>
      <c r="X10" s="77">
        <f>Table1a[[#This Row],[2018]]/'1a'!X$5</f>
        <v>0.15</v>
      </c>
      <c r="Y10" s="77">
        <f>Table1a[[#This Row],[2019]]/'1a'!Y$5</f>
        <v>0.15</v>
      </c>
      <c r="Z10" s="77">
        <f>Table1a[[#This Row],[2020]]/'1a'!Z$5</f>
        <v>0.13</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t="s">
        <v>42</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941F930C-D42A-4334-B022-1E9B6A562062}"/>
    <hyperlink ref="B18" r:id="rId2" xr:uid="{32B32194-795C-4F37-BBB0-0F44A1A2886B}"/>
  </hyperlinks>
  <pageMargins left="0.7" right="0.7" top="0.75" bottom="0.75" header="0.3" footer="0.3"/>
  <pageSetup paperSize="9" orientation="portrait"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841D4-BB9D-4121-B1FA-4AFB395D22F4}">
  <sheetPr>
    <tabColor theme="4" tint="0.59999389629810485"/>
  </sheetPr>
  <dimension ref="A1:Z24"/>
  <sheetViews>
    <sheetView showGridLines="0" zoomScale="70" zoomScaleNormal="70" workbookViewId="0"/>
  </sheetViews>
  <sheetFormatPr defaultRowHeight="15"/>
  <cols>
    <col min="1" max="1" width="13.83203125" customWidth="1"/>
    <col min="2" max="2" width="59" customWidth="1"/>
  </cols>
  <sheetData>
    <row r="1" spans="1:26" ht="17.649999999999999">
      <c r="A1" s="12" t="s">
        <v>397</v>
      </c>
    </row>
    <row r="2" spans="1:26">
      <c r="A2" s="11" t="s">
        <v>159</v>
      </c>
    </row>
    <row r="3" spans="1:26" ht="31.5" customHeight="1">
      <c r="A3" s="11" t="s">
        <v>64</v>
      </c>
      <c r="C3" s="11"/>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5">
        <v>6.8000000000000005E-2</v>
      </c>
      <c r="D5" s="75">
        <v>7.0000000000000007E-2</v>
      </c>
      <c r="E5" s="75">
        <v>7.1999999999999995E-2</v>
      </c>
      <c r="F5" s="75">
        <v>7.1999999999999995E-2</v>
      </c>
      <c r="G5" s="75">
        <v>7.3999999999999996E-2</v>
      </c>
      <c r="H5" s="75">
        <v>7.6999999999999999E-2</v>
      </c>
      <c r="I5" s="75">
        <v>8.1000000000000003E-2</v>
      </c>
      <c r="J5" s="75">
        <v>8.3000000000000004E-2</v>
      </c>
      <c r="K5" s="75">
        <v>8.4000000000000005E-2</v>
      </c>
      <c r="L5" s="75">
        <v>8.5999999999999993E-2</v>
      </c>
      <c r="M5" s="75">
        <v>8.5999999999999993E-2</v>
      </c>
      <c r="N5" s="75">
        <v>0.09</v>
      </c>
      <c r="O5" s="75">
        <v>0.1</v>
      </c>
      <c r="P5" s="75">
        <v>0.1</v>
      </c>
      <c r="Q5" s="75">
        <v>9.9000000000000005E-2</v>
      </c>
      <c r="R5" s="75">
        <v>9.9000000000000005E-2</v>
      </c>
      <c r="S5" s="75">
        <v>9.8000000000000004E-2</v>
      </c>
      <c r="T5" s="75">
        <v>9.8000000000000004E-2</v>
      </c>
      <c r="U5" s="75">
        <v>9.8000000000000004E-2</v>
      </c>
      <c r="V5" s="75">
        <v>9.7000000000000003E-2</v>
      </c>
      <c r="W5" s="75">
        <v>9.6000000000000002E-2</v>
      </c>
      <c r="X5" s="75">
        <v>9.7000000000000003E-2</v>
      </c>
      <c r="Y5" s="75">
        <v>9.9000000000000005E-2</v>
      </c>
      <c r="Z5" s="75">
        <v>0.12</v>
      </c>
    </row>
    <row r="6" spans="1:26">
      <c r="A6" s="3" t="s">
        <v>1</v>
      </c>
      <c r="B6" s="39" t="s">
        <v>7</v>
      </c>
      <c r="C6" s="75">
        <v>5.0999999999999997E-2</v>
      </c>
      <c r="D6" s="75">
        <v>5.2999999999999999E-2</v>
      </c>
      <c r="E6" s="75">
        <v>5.5E-2</v>
      </c>
      <c r="F6" s="75">
        <v>5.5E-2</v>
      </c>
      <c r="G6" s="75">
        <v>5.7000000000000002E-2</v>
      </c>
      <c r="H6" s="75">
        <v>6.0999999999999999E-2</v>
      </c>
      <c r="I6" s="75">
        <v>6.3E-2</v>
      </c>
      <c r="J6" s="75">
        <v>6.7000000000000004E-2</v>
      </c>
      <c r="K6" s="75">
        <v>6.8000000000000005E-2</v>
      </c>
      <c r="L6" s="75">
        <v>7.0000000000000007E-2</v>
      </c>
      <c r="M6" s="75">
        <v>7.0000000000000007E-2</v>
      </c>
      <c r="N6" s="75">
        <v>7.2999999999999995E-2</v>
      </c>
      <c r="O6" s="75">
        <v>8.1000000000000003E-2</v>
      </c>
      <c r="P6" s="75">
        <v>0.08</v>
      </c>
      <c r="Q6" s="75">
        <v>0.08</v>
      </c>
      <c r="R6" s="75">
        <v>0.08</v>
      </c>
      <c r="S6" s="75">
        <v>7.9000000000000001E-2</v>
      </c>
      <c r="T6" s="75">
        <v>7.8E-2</v>
      </c>
      <c r="U6" s="75">
        <v>7.8E-2</v>
      </c>
      <c r="V6" s="75">
        <v>7.8E-2</v>
      </c>
      <c r="W6" s="75">
        <v>7.5999999999999998E-2</v>
      </c>
      <c r="X6" s="75">
        <v>7.6999999999999999E-2</v>
      </c>
      <c r="Y6" s="75">
        <v>7.8E-2</v>
      </c>
      <c r="Z6" s="75">
        <v>9.9000000000000005E-2</v>
      </c>
    </row>
    <row r="7" spans="1:26">
      <c r="A7" s="3" t="s">
        <v>2</v>
      </c>
      <c r="B7" s="39" t="s">
        <v>8</v>
      </c>
      <c r="C7" s="75">
        <v>3.0000000000000001E-3</v>
      </c>
      <c r="D7" s="75">
        <v>3.0000000000000001E-3</v>
      </c>
      <c r="E7" s="75">
        <v>3.0000000000000001E-3</v>
      </c>
      <c r="F7" s="75">
        <v>3.0000000000000001E-3</v>
      </c>
      <c r="G7" s="75">
        <v>3.0000000000000001E-3</v>
      </c>
      <c r="H7" s="75">
        <v>3.0000000000000001E-3</v>
      </c>
      <c r="I7" s="75">
        <v>3.0000000000000001E-3</v>
      </c>
      <c r="J7" s="75">
        <v>3.0000000000000001E-3</v>
      </c>
      <c r="K7" s="75">
        <v>3.0000000000000001E-3</v>
      </c>
      <c r="L7" s="75">
        <v>3.0000000000000001E-3</v>
      </c>
      <c r="M7" s="75">
        <v>3.0000000000000001E-3</v>
      </c>
      <c r="N7" s="75">
        <v>4.0000000000000001E-3</v>
      </c>
      <c r="O7" s="75">
        <v>4.0000000000000001E-3</v>
      </c>
      <c r="P7" s="75">
        <v>3.0000000000000001E-3</v>
      </c>
      <c r="Q7" s="75">
        <v>3.0000000000000001E-3</v>
      </c>
      <c r="R7" s="75">
        <v>3.0000000000000001E-3</v>
      </c>
      <c r="S7" s="75">
        <v>3.0000000000000001E-3</v>
      </c>
      <c r="T7" s="75">
        <v>3.0000000000000001E-3</v>
      </c>
      <c r="U7" s="75">
        <v>3.0000000000000001E-3</v>
      </c>
      <c r="V7" s="75">
        <v>3.0000000000000001E-3</v>
      </c>
      <c r="W7" s="75">
        <v>3.0000000000000001E-3</v>
      </c>
      <c r="X7" s="75">
        <v>3.0000000000000001E-3</v>
      </c>
      <c r="Y7" s="75">
        <v>3.0000000000000001E-3</v>
      </c>
      <c r="Z7" s="75">
        <v>3.0000000000000001E-3</v>
      </c>
    </row>
    <row r="8" spans="1:26">
      <c r="A8" s="3" t="s">
        <v>3</v>
      </c>
      <c r="B8" s="39" t="s">
        <v>9</v>
      </c>
      <c r="C8" s="75">
        <v>1E-3</v>
      </c>
      <c r="D8" s="75">
        <v>1E-3</v>
      </c>
      <c r="E8" s="75">
        <v>1E-3</v>
      </c>
      <c r="F8" s="75">
        <v>1E-3</v>
      </c>
      <c r="G8" s="75">
        <v>1E-3</v>
      </c>
      <c r="H8" s="75">
        <v>1E-3</v>
      </c>
      <c r="I8" s="75">
        <v>1E-3</v>
      </c>
      <c r="J8" s="75">
        <v>1E-3</v>
      </c>
      <c r="K8" s="75">
        <v>1E-3</v>
      </c>
      <c r="L8" s="75">
        <v>1E-3</v>
      </c>
      <c r="M8" s="75">
        <v>1E-3</v>
      </c>
      <c r="N8" s="75">
        <v>1E-3</v>
      </c>
      <c r="O8" s="75">
        <v>1E-3</v>
      </c>
      <c r="P8" s="75">
        <v>1E-3</v>
      </c>
      <c r="Q8" s="75">
        <v>1E-3</v>
      </c>
      <c r="R8" s="75">
        <v>1E-3</v>
      </c>
      <c r="S8" s="75">
        <v>2E-3</v>
      </c>
      <c r="T8" s="75">
        <v>2E-3</v>
      </c>
      <c r="U8" s="75">
        <v>2E-3</v>
      </c>
      <c r="V8" s="75">
        <v>2E-3</v>
      </c>
      <c r="W8" s="75">
        <v>2E-3</v>
      </c>
      <c r="X8" s="75">
        <v>2E-3</v>
      </c>
      <c r="Y8" s="75">
        <v>2E-3</v>
      </c>
      <c r="Z8" s="75">
        <v>3.0000000000000001E-3</v>
      </c>
    </row>
    <row r="9" spans="1:26">
      <c r="A9" s="3" t="s">
        <v>4</v>
      </c>
      <c r="B9" s="39" t="s">
        <v>10</v>
      </c>
      <c r="C9" s="75">
        <v>1E-3</v>
      </c>
      <c r="D9" s="75">
        <v>1E-3</v>
      </c>
      <c r="E9" s="75">
        <v>1E-3</v>
      </c>
      <c r="F9" s="75">
        <v>1E-3</v>
      </c>
      <c r="G9" s="75">
        <v>1E-3</v>
      </c>
      <c r="H9" s="75">
        <v>1E-3</v>
      </c>
      <c r="I9" s="75">
        <v>1E-3</v>
      </c>
      <c r="J9" s="75">
        <v>0</v>
      </c>
      <c r="K9" s="75">
        <v>0</v>
      </c>
      <c r="L9" s="75">
        <v>0</v>
      </c>
      <c r="M9" s="75">
        <v>0</v>
      </c>
      <c r="N9" s="75">
        <v>0</v>
      </c>
      <c r="O9" s="75">
        <v>0</v>
      </c>
      <c r="P9" s="75">
        <v>0</v>
      </c>
      <c r="Q9" s="75">
        <v>0</v>
      </c>
      <c r="R9" s="75">
        <v>0</v>
      </c>
      <c r="S9" s="75">
        <v>0</v>
      </c>
      <c r="T9" s="75">
        <v>0</v>
      </c>
      <c r="U9" s="75">
        <v>0</v>
      </c>
      <c r="V9" s="75">
        <v>0</v>
      </c>
      <c r="W9" s="75">
        <v>0</v>
      </c>
      <c r="X9" s="75">
        <v>0</v>
      </c>
      <c r="Y9" s="75">
        <v>0</v>
      </c>
      <c r="Z9" s="75">
        <v>0</v>
      </c>
    </row>
    <row r="10" spans="1:26">
      <c r="A10" s="3" t="s">
        <v>5</v>
      </c>
      <c r="B10" s="39" t="s">
        <v>11</v>
      </c>
      <c r="C10" s="75">
        <v>1.2999999999999999E-2</v>
      </c>
      <c r="D10" s="75">
        <v>1.2999999999999999E-2</v>
      </c>
      <c r="E10" s="75">
        <v>1.2999999999999999E-2</v>
      </c>
      <c r="F10" s="75">
        <v>1.2E-2</v>
      </c>
      <c r="G10" s="75">
        <v>1.2E-2</v>
      </c>
      <c r="H10" s="75">
        <v>1.0999999999999999E-2</v>
      </c>
      <c r="I10" s="75">
        <v>1.2999999999999999E-2</v>
      </c>
      <c r="J10" s="75">
        <v>1.2E-2</v>
      </c>
      <c r="K10" s="75">
        <v>1.0999999999999999E-2</v>
      </c>
      <c r="L10" s="75">
        <v>1.0999999999999999E-2</v>
      </c>
      <c r="M10" s="75">
        <v>1.0999999999999999E-2</v>
      </c>
      <c r="N10" s="75">
        <v>1.2E-2</v>
      </c>
      <c r="O10" s="75">
        <v>1.4E-2</v>
      </c>
      <c r="P10" s="75">
        <v>1.4E-2</v>
      </c>
      <c r="Q10" s="75">
        <v>1.4E-2</v>
      </c>
      <c r="R10" s="75">
        <v>1.4E-2</v>
      </c>
      <c r="S10" s="75">
        <v>1.4E-2</v>
      </c>
      <c r="T10" s="75">
        <v>1.4E-2</v>
      </c>
      <c r="U10" s="75">
        <v>1.4999999999999999E-2</v>
      </c>
      <c r="V10" s="75">
        <v>1.4E-2</v>
      </c>
      <c r="W10" s="75">
        <v>1.4E-2</v>
      </c>
      <c r="X10" s="75">
        <v>1.4999999999999999E-2</v>
      </c>
      <c r="Y10" s="75">
        <v>1.4999999999999999E-2</v>
      </c>
      <c r="Z10" s="75">
        <v>1.4999999999999999E-2</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t="s">
        <v>42</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E3CC72BF-1231-481B-BDCE-BFCBDB9AFA88}"/>
    <hyperlink ref="B18" r:id="rId2" xr:uid="{2548E744-9511-4D4E-AADE-2BDC3C29D7C6}"/>
  </hyperlinks>
  <pageMargins left="0.7" right="0.7" top="0.75" bottom="0.75" header="0.3" footer="0.3"/>
  <pageSetup paperSize="9" orientation="portrait"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D384-D6D3-4FA9-B2C3-C0934982E1A5}">
  <sheetPr>
    <tabColor theme="9" tint="0.59999389629810485"/>
  </sheetPr>
  <dimension ref="A1:Z24"/>
  <sheetViews>
    <sheetView showGridLines="0" zoomScale="70" zoomScaleNormal="70" workbookViewId="0"/>
  </sheetViews>
  <sheetFormatPr defaultRowHeight="15"/>
  <cols>
    <col min="1" max="1" width="13.83203125" customWidth="1"/>
    <col min="2" max="2" width="59" customWidth="1"/>
  </cols>
  <sheetData>
    <row r="1" spans="1:26" ht="17.649999999999999">
      <c r="A1" s="12" t="s">
        <v>161</v>
      </c>
    </row>
    <row r="2" spans="1:26">
      <c r="A2" s="11" t="s">
        <v>159</v>
      </c>
    </row>
    <row r="3" spans="1:26" ht="31.5" customHeight="1">
      <c r="A3" s="11" t="s">
        <v>64</v>
      </c>
      <c r="C3" s="11"/>
    </row>
    <row r="4" spans="1:26" s="9" customFormat="1" ht="46.5" customHeight="1" thickBot="1">
      <c r="A4" s="31" t="s">
        <v>12</v>
      </c>
      <c r="B4" s="8" t="s">
        <v>13</v>
      </c>
      <c r="C4" s="36" t="s">
        <v>14</v>
      </c>
      <c r="D4" s="36" t="s">
        <v>15</v>
      </c>
      <c r="E4" s="36" t="s">
        <v>16</v>
      </c>
      <c r="F4" s="36" t="s">
        <v>17</v>
      </c>
      <c r="G4" s="36" t="s">
        <v>18</v>
      </c>
      <c r="H4" s="36" t="s">
        <v>19</v>
      </c>
      <c r="I4" s="36" t="s">
        <v>20</v>
      </c>
      <c r="J4" s="36" t="s">
        <v>21</v>
      </c>
      <c r="K4" s="36" t="s">
        <v>22</v>
      </c>
      <c r="L4" s="36" t="s">
        <v>23</v>
      </c>
      <c r="M4" s="36" t="s">
        <v>24</v>
      </c>
      <c r="N4" s="36" t="s">
        <v>25</v>
      </c>
      <c r="O4" s="36" t="s">
        <v>26</v>
      </c>
      <c r="P4" s="36" t="s">
        <v>27</v>
      </c>
      <c r="Q4" s="36" t="s">
        <v>28</v>
      </c>
      <c r="R4" s="36" t="s">
        <v>29</v>
      </c>
      <c r="S4" s="36" t="s">
        <v>30</v>
      </c>
      <c r="T4" s="36" t="s">
        <v>31</v>
      </c>
      <c r="U4" s="36" t="s">
        <v>32</v>
      </c>
      <c r="V4" s="36" t="s">
        <v>33</v>
      </c>
      <c r="W4" s="36" t="s">
        <v>34</v>
      </c>
      <c r="X4" s="36" t="s">
        <v>35</v>
      </c>
      <c r="Y4" s="36" t="s">
        <v>36</v>
      </c>
      <c r="Z4" s="36" t="s">
        <v>37</v>
      </c>
    </row>
    <row r="5" spans="1:26">
      <c r="A5" s="4" t="s">
        <v>0</v>
      </c>
      <c r="B5" s="38" t="s">
        <v>6</v>
      </c>
      <c r="C5" s="73">
        <v>106536</v>
      </c>
      <c r="D5" s="73">
        <v>112272</v>
      </c>
      <c r="E5" s="73">
        <v>118838</v>
      </c>
      <c r="F5" s="73">
        <v>123298</v>
      </c>
      <c r="G5" s="73">
        <v>129308</v>
      </c>
      <c r="H5" s="73">
        <v>137533</v>
      </c>
      <c r="I5" s="73">
        <v>148606</v>
      </c>
      <c r="J5" s="73">
        <v>156831</v>
      </c>
      <c r="K5" s="73">
        <v>162135</v>
      </c>
      <c r="L5" s="73">
        <v>171142</v>
      </c>
      <c r="M5" s="73">
        <v>174529</v>
      </c>
      <c r="N5" s="73">
        <v>182653</v>
      </c>
      <c r="O5" s="73">
        <v>194528</v>
      </c>
      <c r="P5" s="73">
        <v>197001</v>
      </c>
      <c r="Q5" s="73">
        <v>199091</v>
      </c>
      <c r="R5" s="73">
        <v>202376</v>
      </c>
      <c r="S5" s="73">
        <v>204393</v>
      </c>
      <c r="T5" s="73">
        <v>210172</v>
      </c>
      <c r="U5" s="73">
        <v>214123</v>
      </c>
      <c r="V5" s="73">
        <v>217640</v>
      </c>
      <c r="W5" s="73">
        <v>219866</v>
      </c>
      <c r="X5" s="73">
        <v>225130</v>
      </c>
      <c r="Y5" s="73">
        <v>234063</v>
      </c>
      <c r="Z5" s="73">
        <v>257564</v>
      </c>
    </row>
    <row r="6" spans="1:26">
      <c r="A6" s="3" t="s">
        <v>1</v>
      </c>
      <c r="B6" s="39" t="s">
        <v>7</v>
      </c>
      <c r="C6" s="73">
        <v>79912</v>
      </c>
      <c r="D6" s="73">
        <v>84488</v>
      </c>
      <c r="E6" s="73">
        <v>90351</v>
      </c>
      <c r="F6" s="73">
        <v>93882</v>
      </c>
      <c r="G6" s="73">
        <v>100361</v>
      </c>
      <c r="H6" s="73">
        <v>108978</v>
      </c>
      <c r="I6" s="73">
        <v>116241</v>
      </c>
      <c r="J6" s="73">
        <v>125501</v>
      </c>
      <c r="K6" s="73">
        <v>131288</v>
      </c>
      <c r="L6" s="73">
        <v>138782</v>
      </c>
      <c r="M6" s="73">
        <v>141937</v>
      </c>
      <c r="N6" s="73">
        <v>147871</v>
      </c>
      <c r="O6" s="73">
        <v>156854</v>
      </c>
      <c r="P6" s="73">
        <v>158480</v>
      </c>
      <c r="Q6" s="73">
        <v>160074</v>
      </c>
      <c r="R6" s="73">
        <v>162120</v>
      </c>
      <c r="S6" s="73">
        <v>163180</v>
      </c>
      <c r="T6" s="73">
        <v>167890</v>
      </c>
      <c r="U6" s="73">
        <v>170746</v>
      </c>
      <c r="V6" s="73">
        <v>174472</v>
      </c>
      <c r="W6" s="73">
        <v>174989</v>
      </c>
      <c r="X6" s="73">
        <v>178506</v>
      </c>
      <c r="Y6" s="73">
        <v>185745</v>
      </c>
      <c r="Z6" s="73">
        <v>213377</v>
      </c>
    </row>
    <row r="7" spans="1:26">
      <c r="A7" s="3" t="s">
        <v>2</v>
      </c>
      <c r="B7" s="39" t="s">
        <v>8</v>
      </c>
      <c r="C7" s="73">
        <v>4045</v>
      </c>
      <c r="D7" s="73">
        <v>4172</v>
      </c>
      <c r="E7" s="73">
        <v>4407</v>
      </c>
      <c r="F7" s="73">
        <v>5251</v>
      </c>
      <c r="G7" s="73">
        <v>5815</v>
      </c>
      <c r="H7" s="73">
        <v>5975</v>
      </c>
      <c r="I7" s="73">
        <v>5942</v>
      </c>
      <c r="J7" s="73">
        <v>5998</v>
      </c>
      <c r="K7" s="73">
        <v>6444</v>
      </c>
      <c r="L7" s="73">
        <v>6661</v>
      </c>
      <c r="M7" s="73">
        <v>6826</v>
      </c>
      <c r="N7" s="73">
        <v>7291</v>
      </c>
      <c r="O7" s="73">
        <v>6989</v>
      </c>
      <c r="P7" s="73">
        <v>6900</v>
      </c>
      <c r="Q7" s="73">
        <v>6980</v>
      </c>
      <c r="R7" s="73">
        <v>7044</v>
      </c>
      <c r="S7" s="73">
        <v>7053</v>
      </c>
      <c r="T7" s="73">
        <v>7169</v>
      </c>
      <c r="U7" s="73">
        <v>7013</v>
      </c>
      <c r="V7" s="73">
        <v>6100</v>
      </c>
      <c r="W7" s="73">
        <v>6548</v>
      </c>
      <c r="X7" s="73">
        <v>6768</v>
      </c>
      <c r="Y7" s="73">
        <v>6678</v>
      </c>
      <c r="Z7" s="73">
        <v>5756</v>
      </c>
    </row>
    <row r="8" spans="1:26">
      <c r="A8" s="3" t="s">
        <v>3</v>
      </c>
      <c r="B8" s="39" t="s">
        <v>9</v>
      </c>
      <c r="C8" s="73">
        <v>1195</v>
      </c>
      <c r="D8" s="73">
        <v>1292</v>
      </c>
      <c r="E8" s="73">
        <v>1406</v>
      </c>
      <c r="F8" s="73">
        <v>1554</v>
      </c>
      <c r="G8" s="73">
        <v>1653</v>
      </c>
      <c r="H8" s="73">
        <v>1793</v>
      </c>
      <c r="I8" s="73">
        <v>2000</v>
      </c>
      <c r="J8" s="73">
        <v>1957</v>
      </c>
      <c r="K8" s="73">
        <v>2078</v>
      </c>
      <c r="L8" s="73">
        <v>2231</v>
      </c>
      <c r="M8" s="73">
        <v>2197</v>
      </c>
      <c r="N8" s="73">
        <v>2297</v>
      </c>
      <c r="O8" s="73">
        <v>2292</v>
      </c>
      <c r="P8" s="73">
        <v>2474</v>
      </c>
      <c r="Q8" s="73">
        <v>2727</v>
      </c>
      <c r="R8" s="73">
        <v>2940</v>
      </c>
      <c r="S8" s="73">
        <v>3237</v>
      </c>
      <c r="T8" s="73">
        <v>3262</v>
      </c>
      <c r="U8" s="73">
        <v>3650</v>
      </c>
      <c r="V8" s="73">
        <v>3996</v>
      </c>
      <c r="W8" s="73">
        <v>4416</v>
      </c>
      <c r="X8" s="73">
        <v>4646</v>
      </c>
      <c r="Y8" s="73">
        <v>5161</v>
      </c>
      <c r="Z8" s="73">
        <v>5491</v>
      </c>
    </row>
    <row r="9" spans="1:26">
      <c r="A9" s="3" t="s">
        <v>4</v>
      </c>
      <c r="B9" s="39" t="s">
        <v>10</v>
      </c>
      <c r="C9" s="73">
        <v>1243</v>
      </c>
      <c r="D9" s="73">
        <v>1327</v>
      </c>
      <c r="E9" s="73">
        <v>1173</v>
      </c>
      <c r="F9" s="73">
        <v>1255</v>
      </c>
      <c r="G9" s="73">
        <v>1227</v>
      </c>
      <c r="H9" s="73">
        <v>1128</v>
      </c>
      <c r="I9" s="73">
        <v>1012</v>
      </c>
      <c r="J9" s="73">
        <v>860</v>
      </c>
      <c r="K9" s="73">
        <v>881</v>
      </c>
      <c r="L9" s="73">
        <v>838</v>
      </c>
      <c r="M9" s="73">
        <v>912</v>
      </c>
      <c r="N9" s="73">
        <v>869</v>
      </c>
      <c r="O9" s="73">
        <v>782</v>
      </c>
      <c r="P9" s="73">
        <v>885</v>
      </c>
      <c r="Q9" s="73">
        <v>916</v>
      </c>
      <c r="R9" s="73">
        <v>916</v>
      </c>
      <c r="S9" s="73">
        <v>891</v>
      </c>
      <c r="T9" s="73">
        <v>871</v>
      </c>
      <c r="U9" s="73">
        <v>859</v>
      </c>
      <c r="V9" s="73">
        <v>789</v>
      </c>
      <c r="W9" s="73">
        <v>750</v>
      </c>
      <c r="X9" s="73">
        <v>720</v>
      </c>
      <c r="Y9" s="73">
        <v>706</v>
      </c>
      <c r="Z9" s="73">
        <v>648</v>
      </c>
    </row>
    <row r="10" spans="1:26">
      <c r="A10" s="3" t="s">
        <v>5</v>
      </c>
      <c r="B10" s="39" t="s">
        <v>11</v>
      </c>
      <c r="C10" s="73">
        <v>20141</v>
      </c>
      <c r="D10" s="73">
        <v>20993</v>
      </c>
      <c r="E10" s="73">
        <v>21500</v>
      </c>
      <c r="F10" s="73">
        <v>21355</v>
      </c>
      <c r="G10" s="73">
        <v>20253</v>
      </c>
      <c r="H10" s="73">
        <v>19658</v>
      </c>
      <c r="I10" s="73">
        <v>23411</v>
      </c>
      <c r="J10" s="73">
        <v>22515</v>
      </c>
      <c r="K10" s="73">
        <v>21445</v>
      </c>
      <c r="L10" s="73">
        <v>22629</v>
      </c>
      <c r="M10" s="73">
        <v>22656</v>
      </c>
      <c r="N10" s="73">
        <v>24325</v>
      </c>
      <c r="O10" s="73">
        <v>27611</v>
      </c>
      <c r="P10" s="73">
        <v>28262</v>
      </c>
      <c r="Q10" s="73">
        <v>28393</v>
      </c>
      <c r="R10" s="73">
        <v>29356</v>
      </c>
      <c r="S10" s="73">
        <v>30033</v>
      </c>
      <c r="T10" s="73">
        <v>30980</v>
      </c>
      <c r="U10" s="73">
        <v>31857</v>
      </c>
      <c r="V10" s="73">
        <v>32283</v>
      </c>
      <c r="W10" s="73">
        <v>33164</v>
      </c>
      <c r="X10" s="73">
        <v>34489</v>
      </c>
      <c r="Y10" s="73">
        <v>35771</v>
      </c>
      <c r="Z10" s="73">
        <v>32293</v>
      </c>
    </row>
    <row r="11" spans="1:26">
      <c r="A11" t="s">
        <v>153</v>
      </c>
    </row>
    <row r="12" spans="1:26" ht="32.549999999999997" customHeight="1">
      <c r="A12" s="1" t="s">
        <v>38</v>
      </c>
    </row>
    <row r="13" spans="1:26">
      <c r="A13" t="s">
        <v>51</v>
      </c>
      <c r="B13" t="s">
        <v>39</v>
      </c>
    </row>
    <row r="14" spans="1:26">
      <c r="A14" t="s">
        <v>52</v>
      </c>
      <c r="B14" t="s">
        <v>40</v>
      </c>
    </row>
    <row r="15" spans="1:26">
      <c r="A15" t="s">
        <v>327</v>
      </c>
      <c r="B15" s="19" t="s">
        <v>41</v>
      </c>
    </row>
    <row r="16" spans="1:26">
      <c r="A16" t="s">
        <v>53</v>
      </c>
      <c r="B16" s="18" t="s">
        <v>323</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8" r:id="rId1" xr:uid="{F550D1DE-4D0C-48CA-AA32-57A8E05AC8EC}"/>
    <hyperlink ref="B15" r:id="rId2" display="https://www.ons.gov.uk/peoplepopulationandcommunity/healthandsocialcare/healthcaresystem/methodologies/introductiontohealthaccounts" xr:uid="{69A8608B-5596-4B6D-A13C-EF69FF8E7DD5}"/>
  </hyperlinks>
  <pageMargins left="0.7" right="0.7" top="0.75" bottom="0.75" header="0.3" footer="0.3"/>
  <pageSetup paperSize="9" orientation="portrait"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6BC30-1552-47BA-A606-EB582668A8DC}">
  <sheetPr>
    <tabColor theme="9" tint="0.59999389629810485"/>
  </sheetPr>
  <dimension ref="A1:Y24"/>
  <sheetViews>
    <sheetView showGridLines="0" zoomScale="70" zoomScaleNormal="70" workbookViewId="0"/>
  </sheetViews>
  <sheetFormatPr defaultRowHeight="15"/>
  <cols>
    <col min="1" max="1" width="13.83203125" customWidth="1"/>
    <col min="2" max="2" width="59" customWidth="1"/>
  </cols>
  <sheetData>
    <row r="1" spans="1:25" ht="17.649999999999999">
      <c r="A1" s="12" t="s">
        <v>394</v>
      </c>
    </row>
    <row r="2" spans="1:25">
      <c r="A2" s="11" t="s">
        <v>159</v>
      </c>
    </row>
    <row r="3" spans="1:25" ht="31.5" customHeight="1">
      <c r="A3" s="11" t="s">
        <v>64</v>
      </c>
    </row>
    <row r="4" spans="1:25" s="9" customFormat="1" ht="46.5" customHeight="1" thickBot="1">
      <c r="A4" s="31" t="s">
        <v>12</v>
      </c>
      <c r="B4" s="8" t="s">
        <v>13</v>
      </c>
      <c r="C4" s="36" t="s">
        <v>15</v>
      </c>
      <c r="D4" s="36" t="s">
        <v>16</v>
      </c>
      <c r="E4" s="36" t="s">
        <v>17</v>
      </c>
      <c r="F4" s="36" t="s">
        <v>18</v>
      </c>
      <c r="G4" s="36" t="s">
        <v>19</v>
      </c>
      <c r="H4" s="36" t="s">
        <v>20</v>
      </c>
      <c r="I4" s="36" t="s">
        <v>21</v>
      </c>
      <c r="J4" s="36" t="s">
        <v>22</v>
      </c>
      <c r="K4" s="36" t="s">
        <v>23</v>
      </c>
      <c r="L4" s="36" t="s">
        <v>24</v>
      </c>
      <c r="M4" s="36" t="s">
        <v>25</v>
      </c>
      <c r="N4" s="36" t="s">
        <v>26</v>
      </c>
      <c r="O4" s="36" t="s">
        <v>27</v>
      </c>
      <c r="P4" s="36" t="s">
        <v>28</v>
      </c>
      <c r="Q4" s="36" t="s">
        <v>29</v>
      </c>
      <c r="R4" s="36" t="s">
        <v>30</v>
      </c>
      <c r="S4" s="36" t="s">
        <v>31</v>
      </c>
      <c r="T4" s="36" t="s">
        <v>32</v>
      </c>
      <c r="U4" s="36" t="s">
        <v>33</v>
      </c>
      <c r="V4" s="36" t="s">
        <v>34</v>
      </c>
      <c r="W4" s="36" t="s">
        <v>35</v>
      </c>
      <c r="X4" s="36" t="s">
        <v>36</v>
      </c>
      <c r="Y4" s="36" t="s">
        <v>37</v>
      </c>
    </row>
    <row r="5" spans="1:25">
      <c r="A5" s="4" t="s">
        <v>0</v>
      </c>
      <c r="B5" s="38" t="s">
        <v>6</v>
      </c>
      <c r="C5" s="75">
        <f>Table2a[[#This Row],[1998]]/Table2a[[#This Row],[1997]]-1</f>
        <v>5.3999999999999999E-2</v>
      </c>
      <c r="D5" s="75">
        <f>Table2a[[#This Row],[1999]]/Table2a[[#This Row],[1998]]-1</f>
        <v>5.8000000000000003E-2</v>
      </c>
      <c r="E5" s="75">
        <f>Table2a[[#This Row],[2000]]/Table2a[[#This Row],[1999]]-1</f>
        <v>3.7999999999999999E-2</v>
      </c>
      <c r="F5" s="75">
        <f>Table2a[[#This Row],[2001]]/Table2a[[#This Row],[2000]]-1</f>
        <v>4.9000000000000002E-2</v>
      </c>
      <c r="G5" s="75">
        <f>Table2a[[#This Row],[2002]]/Table2a[[#This Row],[2001]]-1</f>
        <v>6.4000000000000001E-2</v>
      </c>
      <c r="H5" s="75">
        <f>Table2a[[#This Row],[2003]]/Table2a[[#This Row],[2002]]-1</f>
        <v>8.1000000000000003E-2</v>
      </c>
      <c r="I5" s="75">
        <f>Table2a[[#This Row],[2004]]/Table2a[[#This Row],[2003]]-1</f>
        <v>5.5E-2</v>
      </c>
      <c r="J5" s="75">
        <f>Table2a[[#This Row],[2005]]/Table2a[[#This Row],[2004]]-1</f>
        <v>3.4000000000000002E-2</v>
      </c>
      <c r="K5" s="75">
        <f>Table2a[[#This Row],[2006]]/Table2a[[#This Row],[2005]]-1</f>
        <v>5.6000000000000001E-2</v>
      </c>
      <c r="L5" s="75">
        <f>Table2a[[#This Row],[2007]]/Table2a[[#This Row],[2006]]-1</f>
        <v>0.02</v>
      </c>
      <c r="M5" s="75">
        <f>Table2a[[#This Row],[2008]]/Table2a[[#This Row],[2007]]-1</f>
        <v>4.7E-2</v>
      </c>
      <c r="N5" s="75">
        <f>Table2a[[#This Row],[2009]]/Table2a[[#This Row],[2008]]-1</f>
        <v>6.5000000000000002E-2</v>
      </c>
      <c r="O5" s="75">
        <f>Table2a[[#This Row],[2010]]/Table2a[[#This Row],[2009]]-1</f>
        <v>1.2999999999999999E-2</v>
      </c>
      <c r="P5" s="75">
        <f>Table2a[[#This Row],[2011]]/Table2a[[#This Row],[2010]]-1</f>
        <v>1.0999999999999999E-2</v>
      </c>
      <c r="Q5" s="75">
        <f>Table2a[[#This Row],[2012]]/Table2a[[#This Row],[2011]]-1</f>
        <v>1.6E-2</v>
      </c>
      <c r="R5" s="75">
        <f>Table2a[[#This Row],[2013]]/Table2a[[#This Row],[2012]]-1</f>
        <v>0.01</v>
      </c>
      <c r="S5" s="75">
        <f>Table2a[[#This Row],[2014]]/Table2a[[#This Row],[2013]]-1</f>
        <v>2.8000000000000001E-2</v>
      </c>
      <c r="T5" s="75">
        <f>Table2a[[#This Row],[2015]]/Table2a[[#This Row],[2014]]-1</f>
        <v>1.9E-2</v>
      </c>
      <c r="U5" s="75">
        <f>Table2a[[#This Row],[2016]]/Table2a[[#This Row],[2015]]-1</f>
        <v>1.6E-2</v>
      </c>
      <c r="V5" s="75">
        <f>Table2a[[#This Row],[2017]]/Table2a[[#This Row],[2016]]-1</f>
        <v>0.01</v>
      </c>
      <c r="W5" s="75">
        <f>Table2a[[#This Row],[2018]]/Table2a[[#This Row],[2017]]-1</f>
        <v>2.4E-2</v>
      </c>
      <c r="X5" s="75">
        <f>Table2a[[#This Row],[2019]]/Table2a[[#This Row],[2018]]-1</f>
        <v>0.04</v>
      </c>
      <c r="Y5" s="75">
        <f>Table2a[[#This Row],[2020]]/Table2a[[#This Row],[2019]]-1</f>
        <v>0.1</v>
      </c>
    </row>
    <row r="6" spans="1:25">
      <c r="A6" s="3" t="s">
        <v>1</v>
      </c>
      <c r="B6" s="39" t="s">
        <v>7</v>
      </c>
      <c r="C6" s="75">
        <f>Table2a[[#This Row],[1998]]/Table2a[[#This Row],[1997]]-1</f>
        <v>5.7000000000000002E-2</v>
      </c>
      <c r="D6" s="75">
        <f>Table2a[[#This Row],[1999]]/Table2a[[#This Row],[1998]]-1</f>
        <v>6.9000000000000006E-2</v>
      </c>
      <c r="E6" s="75">
        <f>Table2a[[#This Row],[2000]]/Table2a[[#This Row],[1999]]-1</f>
        <v>3.9E-2</v>
      </c>
      <c r="F6" s="75">
        <f>Table2a[[#This Row],[2001]]/Table2a[[#This Row],[2000]]-1</f>
        <v>6.9000000000000006E-2</v>
      </c>
      <c r="G6" s="75">
        <f>Table2a[[#This Row],[2002]]/Table2a[[#This Row],[2001]]-1</f>
        <v>8.5999999999999993E-2</v>
      </c>
      <c r="H6" s="75">
        <f>Table2a[[#This Row],[2003]]/Table2a[[#This Row],[2002]]-1</f>
        <v>6.7000000000000004E-2</v>
      </c>
      <c r="I6" s="75">
        <f>Table2a[[#This Row],[2004]]/Table2a[[#This Row],[2003]]-1</f>
        <v>0.08</v>
      </c>
      <c r="J6" s="75">
        <f>Table2a[[#This Row],[2005]]/Table2a[[#This Row],[2004]]-1</f>
        <v>4.5999999999999999E-2</v>
      </c>
      <c r="K6" s="75">
        <f>Table2a[[#This Row],[2006]]/Table2a[[#This Row],[2005]]-1</f>
        <v>5.7000000000000002E-2</v>
      </c>
      <c r="L6" s="75">
        <f>Table2a[[#This Row],[2007]]/Table2a[[#This Row],[2006]]-1</f>
        <v>2.3E-2</v>
      </c>
      <c r="M6" s="75">
        <f>Table2a[[#This Row],[2008]]/Table2a[[#This Row],[2007]]-1</f>
        <v>4.2000000000000003E-2</v>
      </c>
      <c r="N6" s="75">
        <f>Table2a[[#This Row],[2009]]/Table2a[[#This Row],[2008]]-1</f>
        <v>6.0999999999999999E-2</v>
      </c>
      <c r="O6" s="75">
        <f>Table2a[[#This Row],[2010]]/Table2a[[#This Row],[2009]]-1</f>
        <v>0.01</v>
      </c>
      <c r="P6" s="75">
        <f>Table2a[[#This Row],[2011]]/Table2a[[#This Row],[2010]]-1</f>
        <v>0.01</v>
      </c>
      <c r="Q6" s="75">
        <f>Table2a[[#This Row],[2012]]/Table2a[[#This Row],[2011]]-1</f>
        <v>1.2999999999999999E-2</v>
      </c>
      <c r="R6" s="75">
        <f>Table2a[[#This Row],[2013]]/Table2a[[#This Row],[2012]]-1</f>
        <v>7.0000000000000001E-3</v>
      </c>
      <c r="S6" s="75">
        <f>Table2a[[#This Row],[2014]]/Table2a[[#This Row],[2013]]-1</f>
        <v>2.9000000000000001E-2</v>
      </c>
      <c r="T6" s="75">
        <f>Table2a[[#This Row],[2015]]/Table2a[[#This Row],[2014]]-1</f>
        <v>1.7000000000000001E-2</v>
      </c>
      <c r="U6" s="75">
        <f>Table2a[[#This Row],[2016]]/Table2a[[#This Row],[2015]]-1</f>
        <v>2.1999999999999999E-2</v>
      </c>
      <c r="V6" s="75">
        <f>Table2a[[#This Row],[2017]]/Table2a[[#This Row],[2016]]-1</f>
        <v>3.0000000000000001E-3</v>
      </c>
      <c r="W6" s="75">
        <f>Table2a[[#This Row],[2018]]/Table2a[[#This Row],[2017]]-1</f>
        <v>0.02</v>
      </c>
      <c r="X6" s="75">
        <f>Table2a[[#This Row],[2019]]/Table2a[[#This Row],[2018]]-1</f>
        <v>4.1000000000000002E-2</v>
      </c>
      <c r="Y6" s="75">
        <f>Table2a[[#This Row],[2020]]/Table2a[[#This Row],[2019]]-1</f>
        <v>0.14899999999999999</v>
      </c>
    </row>
    <row r="7" spans="1:25">
      <c r="A7" s="3" t="s">
        <v>2</v>
      </c>
      <c r="B7" s="39" t="s">
        <v>8</v>
      </c>
      <c r="C7" s="75">
        <f>Table2a[[#This Row],[1998]]/Table2a[[#This Row],[1997]]-1</f>
        <v>3.1E-2</v>
      </c>
      <c r="D7" s="75">
        <f>Table2a[[#This Row],[1999]]/Table2a[[#This Row],[1998]]-1</f>
        <v>5.6000000000000001E-2</v>
      </c>
      <c r="E7" s="75">
        <f>Table2a[[#This Row],[2000]]/Table2a[[#This Row],[1999]]-1</f>
        <v>0.192</v>
      </c>
      <c r="F7" s="75">
        <f>Table2a[[#This Row],[2001]]/Table2a[[#This Row],[2000]]-1</f>
        <v>0.107</v>
      </c>
      <c r="G7" s="75">
        <f>Table2a[[#This Row],[2002]]/Table2a[[#This Row],[2001]]-1</f>
        <v>2.8000000000000001E-2</v>
      </c>
      <c r="H7" s="75">
        <f>Table2a[[#This Row],[2003]]/Table2a[[#This Row],[2002]]-1</f>
        <v>-6.0000000000000001E-3</v>
      </c>
      <c r="I7" s="75">
        <f>Table2a[[#This Row],[2004]]/Table2a[[#This Row],[2003]]-1</f>
        <v>8.9999999999999993E-3</v>
      </c>
      <c r="J7" s="75">
        <f>Table2a[[#This Row],[2005]]/Table2a[[#This Row],[2004]]-1</f>
        <v>7.3999999999999996E-2</v>
      </c>
      <c r="K7" s="75">
        <f>Table2a[[#This Row],[2006]]/Table2a[[#This Row],[2005]]-1</f>
        <v>3.4000000000000002E-2</v>
      </c>
      <c r="L7" s="75">
        <f>Table2a[[#This Row],[2007]]/Table2a[[#This Row],[2006]]-1</f>
        <v>2.5000000000000001E-2</v>
      </c>
      <c r="M7" s="75">
        <f>Table2a[[#This Row],[2008]]/Table2a[[#This Row],[2007]]-1</f>
        <v>6.8000000000000005E-2</v>
      </c>
      <c r="N7" s="75">
        <f>Table2a[[#This Row],[2009]]/Table2a[[#This Row],[2008]]-1</f>
        <v>-4.1000000000000002E-2</v>
      </c>
      <c r="O7" s="75">
        <f>Table2a[[#This Row],[2010]]/Table2a[[#This Row],[2009]]-1</f>
        <v>-1.2999999999999999E-2</v>
      </c>
      <c r="P7" s="75">
        <f>Table2a[[#This Row],[2011]]/Table2a[[#This Row],[2010]]-1</f>
        <v>1.2E-2</v>
      </c>
      <c r="Q7" s="75">
        <f>Table2a[[#This Row],[2012]]/Table2a[[#This Row],[2011]]-1</f>
        <v>8.9999999999999993E-3</v>
      </c>
      <c r="R7" s="75">
        <f>Table2a[[#This Row],[2013]]/Table2a[[#This Row],[2012]]-1</f>
        <v>1E-3</v>
      </c>
      <c r="S7" s="75">
        <f>Table2a[[#This Row],[2014]]/Table2a[[#This Row],[2013]]-1</f>
        <v>1.6E-2</v>
      </c>
      <c r="T7" s="75">
        <f>Table2a[[#This Row],[2015]]/Table2a[[#This Row],[2014]]-1</f>
        <v>-2.1999999999999999E-2</v>
      </c>
      <c r="U7" s="75">
        <f>Table2a[[#This Row],[2016]]/Table2a[[#This Row],[2015]]-1</f>
        <v>-0.13</v>
      </c>
      <c r="V7" s="75">
        <f>Table2a[[#This Row],[2017]]/Table2a[[#This Row],[2016]]-1</f>
        <v>7.2999999999999995E-2</v>
      </c>
      <c r="W7" s="75">
        <f>Table2a[[#This Row],[2018]]/Table2a[[#This Row],[2017]]-1</f>
        <v>3.4000000000000002E-2</v>
      </c>
      <c r="X7" s="75">
        <f>Table2a[[#This Row],[2019]]/Table2a[[#This Row],[2018]]-1</f>
        <v>-1.2999999999999999E-2</v>
      </c>
      <c r="Y7" s="75">
        <f>Table2a[[#This Row],[2020]]/Table2a[[#This Row],[2019]]-1</f>
        <v>-0.13800000000000001</v>
      </c>
    </row>
    <row r="8" spans="1:25">
      <c r="A8" s="3" t="s">
        <v>3</v>
      </c>
      <c r="B8" s="39" t="s">
        <v>9</v>
      </c>
      <c r="C8" s="75">
        <f>Table2a[[#This Row],[1998]]/Table2a[[#This Row],[1997]]-1</f>
        <v>8.1000000000000003E-2</v>
      </c>
      <c r="D8" s="75">
        <f>Table2a[[#This Row],[1999]]/Table2a[[#This Row],[1998]]-1</f>
        <v>8.7999999999999995E-2</v>
      </c>
      <c r="E8" s="75">
        <f>Table2a[[#This Row],[2000]]/Table2a[[#This Row],[1999]]-1</f>
        <v>0.105</v>
      </c>
      <c r="F8" s="75">
        <f>Table2a[[#This Row],[2001]]/Table2a[[#This Row],[2000]]-1</f>
        <v>6.4000000000000001E-2</v>
      </c>
      <c r="G8" s="75">
        <f>Table2a[[#This Row],[2002]]/Table2a[[#This Row],[2001]]-1</f>
        <v>8.5000000000000006E-2</v>
      </c>
      <c r="H8" s="75">
        <f>Table2a[[#This Row],[2003]]/Table2a[[#This Row],[2002]]-1</f>
        <v>0.115</v>
      </c>
      <c r="I8" s="75">
        <f>Table2a[[#This Row],[2004]]/Table2a[[#This Row],[2003]]-1</f>
        <v>-2.1999999999999999E-2</v>
      </c>
      <c r="J8" s="75">
        <f>Table2a[[#This Row],[2005]]/Table2a[[#This Row],[2004]]-1</f>
        <v>6.2E-2</v>
      </c>
      <c r="K8" s="75">
        <f>Table2a[[#This Row],[2006]]/Table2a[[#This Row],[2005]]-1</f>
        <v>7.3999999999999996E-2</v>
      </c>
      <c r="L8" s="75">
        <f>Table2a[[#This Row],[2007]]/Table2a[[#This Row],[2006]]-1</f>
        <v>-1.4999999999999999E-2</v>
      </c>
      <c r="M8" s="75">
        <f>Table2a[[#This Row],[2008]]/Table2a[[#This Row],[2007]]-1</f>
        <v>4.5999999999999999E-2</v>
      </c>
      <c r="N8" s="75">
        <f>Table2a[[#This Row],[2009]]/Table2a[[#This Row],[2008]]-1</f>
        <v>-2E-3</v>
      </c>
      <c r="O8" s="75">
        <f>Table2a[[#This Row],[2010]]/Table2a[[#This Row],[2009]]-1</f>
        <v>7.9000000000000001E-2</v>
      </c>
      <c r="P8" s="75">
        <f>Table2a[[#This Row],[2011]]/Table2a[[#This Row],[2010]]-1</f>
        <v>0.10199999999999999</v>
      </c>
      <c r="Q8" s="75">
        <f>Table2a[[#This Row],[2012]]/Table2a[[#This Row],[2011]]-1</f>
        <v>7.8E-2</v>
      </c>
      <c r="R8" s="75">
        <f>Table2a[[#This Row],[2013]]/Table2a[[#This Row],[2012]]-1</f>
        <v>0.10100000000000001</v>
      </c>
      <c r="S8" s="75">
        <f>Table2a[[#This Row],[2014]]/Table2a[[#This Row],[2013]]-1</f>
        <v>8.0000000000000002E-3</v>
      </c>
      <c r="T8" s="75">
        <f>Table2a[[#This Row],[2015]]/Table2a[[#This Row],[2014]]-1</f>
        <v>0.11899999999999999</v>
      </c>
      <c r="U8" s="75">
        <f>Table2a[[#This Row],[2016]]/Table2a[[#This Row],[2015]]-1</f>
        <v>9.5000000000000001E-2</v>
      </c>
      <c r="V8" s="75">
        <f>Table2a[[#This Row],[2017]]/Table2a[[#This Row],[2016]]-1</f>
        <v>0.105</v>
      </c>
      <c r="W8" s="75">
        <f>Table2a[[#This Row],[2018]]/Table2a[[#This Row],[2017]]-1</f>
        <v>5.1999999999999998E-2</v>
      </c>
      <c r="X8" s="75">
        <f>Table2a[[#This Row],[2019]]/Table2a[[#This Row],[2018]]-1</f>
        <v>0.111</v>
      </c>
      <c r="Y8" s="75">
        <f>Table2a[[#This Row],[2020]]/Table2a[[#This Row],[2019]]-1</f>
        <v>6.4000000000000001E-2</v>
      </c>
    </row>
    <row r="9" spans="1:25">
      <c r="A9" s="3" t="s">
        <v>4</v>
      </c>
      <c r="B9" s="39" t="s">
        <v>10</v>
      </c>
      <c r="C9" s="75">
        <f>Table2a[[#This Row],[1998]]/Table2a[[#This Row],[1997]]-1</f>
        <v>6.8000000000000005E-2</v>
      </c>
      <c r="D9" s="75">
        <f>Table2a[[#This Row],[1999]]/Table2a[[#This Row],[1998]]-1</f>
        <v>-0.11600000000000001</v>
      </c>
      <c r="E9" s="75">
        <f>Table2a[[#This Row],[2000]]/Table2a[[#This Row],[1999]]-1</f>
        <v>7.0000000000000007E-2</v>
      </c>
      <c r="F9" s="75">
        <f>Table2a[[#This Row],[2001]]/Table2a[[#This Row],[2000]]-1</f>
        <v>-2.1999999999999999E-2</v>
      </c>
      <c r="G9" s="75">
        <f>Table2a[[#This Row],[2002]]/Table2a[[#This Row],[2001]]-1</f>
        <v>-8.1000000000000003E-2</v>
      </c>
      <c r="H9" s="75">
        <f>Table2a[[#This Row],[2003]]/Table2a[[#This Row],[2002]]-1</f>
        <v>-0.10299999999999999</v>
      </c>
      <c r="I9" s="75">
        <f>Table2a[[#This Row],[2004]]/Table2a[[#This Row],[2003]]-1</f>
        <v>-0.15</v>
      </c>
      <c r="J9" s="75">
        <f>Table2a[[#This Row],[2005]]/Table2a[[#This Row],[2004]]-1</f>
        <v>2.4E-2</v>
      </c>
      <c r="K9" s="75">
        <f>Table2a[[#This Row],[2006]]/Table2a[[#This Row],[2005]]-1</f>
        <v>-4.9000000000000002E-2</v>
      </c>
      <c r="L9" s="75">
        <f>Table2a[[#This Row],[2007]]/Table2a[[#This Row],[2006]]-1</f>
        <v>8.7999999999999995E-2</v>
      </c>
      <c r="M9" s="75">
        <f>Table2a[[#This Row],[2008]]/Table2a[[#This Row],[2007]]-1</f>
        <v>-4.7E-2</v>
      </c>
      <c r="N9" s="75">
        <f>Table2a[[#This Row],[2009]]/Table2a[[#This Row],[2008]]-1</f>
        <v>-0.1</v>
      </c>
      <c r="O9" s="75">
        <f>Table2a[[#This Row],[2010]]/Table2a[[#This Row],[2009]]-1</f>
        <v>0.13200000000000001</v>
      </c>
      <c r="P9" s="75">
        <f>Table2a[[#This Row],[2011]]/Table2a[[#This Row],[2010]]-1</f>
        <v>3.5000000000000003E-2</v>
      </c>
      <c r="Q9" s="75">
        <f>Table2a[[#This Row],[2012]]/Table2a[[#This Row],[2011]]-1</f>
        <v>0</v>
      </c>
      <c r="R9" s="75">
        <f>Table2a[[#This Row],[2013]]/Table2a[[#This Row],[2012]]-1</f>
        <v>-2.7E-2</v>
      </c>
      <c r="S9" s="75">
        <f>Table2a[[#This Row],[2014]]/Table2a[[#This Row],[2013]]-1</f>
        <v>-2.1999999999999999E-2</v>
      </c>
      <c r="T9" s="75">
        <f>Table2a[[#This Row],[2015]]/Table2a[[#This Row],[2014]]-1</f>
        <v>-1.4E-2</v>
      </c>
      <c r="U9" s="75">
        <f>Table2a[[#This Row],[2016]]/Table2a[[#This Row],[2015]]-1</f>
        <v>-8.1000000000000003E-2</v>
      </c>
      <c r="V9" s="75">
        <f>Table2a[[#This Row],[2017]]/Table2a[[#This Row],[2016]]-1</f>
        <v>-4.9000000000000002E-2</v>
      </c>
      <c r="W9" s="75">
        <f>Table2a[[#This Row],[2018]]/Table2a[[#This Row],[2017]]-1</f>
        <v>-0.04</v>
      </c>
      <c r="X9" s="75">
        <f>Table2a[[#This Row],[2019]]/Table2a[[#This Row],[2018]]-1</f>
        <v>-1.9E-2</v>
      </c>
      <c r="Y9" s="75">
        <f>Table2a[[#This Row],[2020]]/Table2a[[#This Row],[2019]]-1</f>
        <v>-8.2000000000000003E-2</v>
      </c>
    </row>
    <row r="10" spans="1:25">
      <c r="A10" s="3" t="s">
        <v>5</v>
      </c>
      <c r="B10" s="39" t="s">
        <v>11</v>
      </c>
      <c r="C10" s="75">
        <f>Table2a[[#This Row],[1998]]/Table2a[[#This Row],[1997]]-1</f>
        <v>4.2000000000000003E-2</v>
      </c>
      <c r="D10" s="75">
        <f>Table2a[[#This Row],[1999]]/Table2a[[#This Row],[1998]]-1</f>
        <v>2.4E-2</v>
      </c>
      <c r="E10" s="75">
        <f>Table2a[[#This Row],[2000]]/Table2a[[#This Row],[1999]]-1</f>
        <v>-7.0000000000000001E-3</v>
      </c>
      <c r="F10" s="75">
        <f>Table2a[[#This Row],[2001]]/Table2a[[#This Row],[2000]]-1</f>
        <v>-5.1999999999999998E-2</v>
      </c>
      <c r="G10" s="75">
        <f>Table2a[[#This Row],[2002]]/Table2a[[#This Row],[2001]]-1</f>
        <v>-2.9000000000000001E-2</v>
      </c>
      <c r="H10" s="75">
        <f>Table2a[[#This Row],[2003]]/Table2a[[#This Row],[2002]]-1</f>
        <v>0.191</v>
      </c>
      <c r="I10" s="75">
        <f>Table2a[[#This Row],[2004]]/Table2a[[#This Row],[2003]]-1</f>
        <v>-3.7999999999999999E-2</v>
      </c>
      <c r="J10" s="75">
        <f>Table2a[[#This Row],[2005]]/Table2a[[#This Row],[2004]]-1</f>
        <v>-4.8000000000000001E-2</v>
      </c>
      <c r="K10" s="75">
        <f>Table2a[[#This Row],[2006]]/Table2a[[#This Row],[2005]]-1</f>
        <v>5.5E-2</v>
      </c>
      <c r="L10" s="75">
        <f>Table2a[[#This Row],[2007]]/Table2a[[#This Row],[2006]]-1</f>
        <v>1E-3</v>
      </c>
      <c r="M10" s="75">
        <f>Table2a[[#This Row],[2008]]/Table2a[[#This Row],[2007]]-1</f>
        <v>7.3999999999999996E-2</v>
      </c>
      <c r="N10" s="75">
        <f>Table2a[[#This Row],[2009]]/Table2a[[#This Row],[2008]]-1</f>
        <v>0.13500000000000001</v>
      </c>
      <c r="O10" s="75">
        <f>Table2a[[#This Row],[2010]]/Table2a[[#This Row],[2009]]-1</f>
        <v>2.4E-2</v>
      </c>
      <c r="P10" s="75">
        <f>Table2a[[#This Row],[2011]]/Table2a[[#This Row],[2010]]-1</f>
        <v>5.0000000000000001E-3</v>
      </c>
      <c r="Q10" s="75">
        <f>Table2a[[#This Row],[2012]]/Table2a[[#This Row],[2011]]-1</f>
        <v>3.4000000000000002E-2</v>
      </c>
      <c r="R10" s="75">
        <f>Table2a[[#This Row],[2013]]/Table2a[[#This Row],[2012]]-1</f>
        <v>2.3E-2</v>
      </c>
      <c r="S10" s="75">
        <f>Table2a[[#This Row],[2014]]/Table2a[[#This Row],[2013]]-1</f>
        <v>3.2000000000000001E-2</v>
      </c>
      <c r="T10" s="75">
        <f>Table2a[[#This Row],[2015]]/Table2a[[#This Row],[2014]]-1</f>
        <v>2.8000000000000001E-2</v>
      </c>
      <c r="U10" s="75">
        <f>Table2a[[#This Row],[2016]]/Table2a[[#This Row],[2015]]-1</f>
        <v>1.2999999999999999E-2</v>
      </c>
      <c r="V10" s="75">
        <f>Table2a[[#This Row],[2017]]/Table2a[[#This Row],[2016]]-1</f>
        <v>2.7E-2</v>
      </c>
      <c r="W10" s="75">
        <f>Table2a[[#This Row],[2018]]/Table2a[[#This Row],[2017]]-1</f>
        <v>0.04</v>
      </c>
      <c r="X10" s="75">
        <f>Table2a[[#This Row],[2019]]/Table2a[[#This Row],[2018]]-1</f>
        <v>3.6999999999999998E-2</v>
      </c>
      <c r="Y10" s="75">
        <f>Table2a[[#This Row],[2020]]/Table2a[[#This Row],[2019]]-1</f>
        <v>-9.7000000000000003E-2</v>
      </c>
    </row>
    <row r="11" spans="1:25">
      <c r="A11" t="s">
        <v>153</v>
      </c>
    </row>
    <row r="12" spans="1:25" ht="32.549999999999997" customHeight="1">
      <c r="A12" s="1" t="s">
        <v>38</v>
      </c>
    </row>
    <row r="13" spans="1:25">
      <c r="A13" t="s">
        <v>51</v>
      </c>
      <c r="B13" t="s">
        <v>39</v>
      </c>
    </row>
    <row r="14" spans="1:25">
      <c r="A14" t="s">
        <v>52</v>
      </c>
      <c r="B14" t="s">
        <v>40</v>
      </c>
    </row>
    <row r="15" spans="1:25">
      <c r="A15" t="s">
        <v>327</v>
      </c>
      <c r="B15" s="19" t="s">
        <v>41</v>
      </c>
    </row>
    <row r="16" spans="1:25">
      <c r="A16" t="s">
        <v>53</v>
      </c>
      <c r="B16" s="18" t="s">
        <v>323</v>
      </c>
    </row>
    <row r="17" spans="1:2">
      <c r="A17" t="s">
        <v>54</v>
      </c>
      <c r="B17" t="s">
        <v>43</v>
      </c>
    </row>
    <row r="18" spans="1:2">
      <c r="A18" t="s">
        <v>326</v>
      </c>
      <c r="B18" s="78" t="s">
        <v>44</v>
      </c>
    </row>
    <row r="19" spans="1:2">
      <c r="A19" t="s">
        <v>55</v>
      </c>
      <c r="B19" t="s">
        <v>45</v>
      </c>
    </row>
    <row r="20" spans="1:2">
      <c r="A20" t="s">
        <v>56</v>
      </c>
      <c r="B20" t="s">
        <v>46</v>
      </c>
    </row>
    <row r="21" spans="1:2">
      <c r="A21" t="s">
        <v>57</v>
      </c>
      <c r="B21" t="s">
        <v>47</v>
      </c>
    </row>
    <row r="22" spans="1:2">
      <c r="A22" t="s">
        <v>58</v>
      </c>
      <c r="B22" t="s">
        <v>48</v>
      </c>
    </row>
    <row r="23" spans="1:2">
      <c r="A23" t="s">
        <v>59</v>
      </c>
      <c r="B23" t="s">
        <v>49</v>
      </c>
    </row>
    <row r="24" spans="1:2">
      <c r="A24" t="s">
        <v>60</v>
      </c>
      <c r="B24" t="s">
        <v>50</v>
      </c>
    </row>
  </sheetData>
  <hyperlinks>
    <hyperlink ref="B15" r:id="rId1" display="https://www.ons.gov.uk/peoplepopulationandcommunity/healthandsocialcare/healthcaresystem/methodologies/introductiontohealthaccounts" xr:uid="{C05280FE-D215-4E7D-B355-B7D29805DC92}"/>
    <hyperlink ref="B18" r:id="rId2" xr:uid="{286756EB-8139-4059-B102-D8443D025612}"/>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3959</TrackerID>
    <MoveTo xmlns="2541d45d-41ad-4814-bf67-1422fc7ee58e" xsi:nil="true"/>
  </documentManagement>
</p:properties>
</file>

<file path=customXml/itemProps1.xml><?xml version="1.0" encoding="utf-8"?>
<ds:datastoreItem xmlns:ds="http://schemas.openxmlformats.org/officeDocument/2006/customXml" ds:itemID="{73FAD3F0-8EE2-44AD-81FA-C8E13DAF9551}">
  <ds:schemaRefs>
    <ds:schemaRef ds:uri="http://schemas.microsoft.com/sharepoint/v3/contenttype/forms"/>
  </ds:schemaRefs>
</ds:datastoreItem>
</file>

<file path=customXml/itemProps2.xml><?xml version="1.0" encoding="utf-8"?>
<ds:datastoreItem xmlns:ds="http://schemas.openxmlformats.org/officeDocument/2006/customXml" ds:itemID="{1A2CFED8-7F7C-472D-95F8-6E84C47DE50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909C131-1274-45CC-B2A2-D6B3EE6D25C7}">
  <ds:schemaRefs>
    <ds:schemaRef ds:uri="http://purl.org/dc/elements/1.1/"/>
    <ds:schemaRef ds:uri="http://schemas.microsoft.com/office/2006/metadata/properties"/>
    <ds:schemaRef ds:uri="http://purl.org/dc/terms/"/>
    <ds:schemaRef ds:uri="e6b35b7b-7918-491b-a6d9-3abe19733ca5"/>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 ds:uri="e73541d3-5dbc-467b-ad85-92b29e93bc53"/>
    <ds:schemaRef ds:uri="2541d45d-41ad-4814-bf67-1422fc7ee58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Cover sheet</vt:lpstr>
      <vt:lpstr>Contents</vt:lpstr>
      <vt:lpstr>1a</vt:lpstr>
      <vt:lpstr>1b</vt:lpstr>
      <vt:lpstr>1c</vt:lpstr>
      <vt:lpstr>1d</vt:lpstr>
      <vt:lpstr>1e</vt:lpstr>
      <vt:lpstr>2a</vt:lpstr>
      <vt:lpstr>2b</vt:lpstr>
      <vt:lpstr>2c</vt:lpstr>
      <vt:lpstr>3a</vt:lpstr>
      <vt:lpstr>3b</vt:lpstr>
      <vt:lpstr>3c</vt:lpstr>
      <vt:lpstr>3d</vt:lpstr>
      <vt:lpstr>3e</vt:lpstr>
      <vt:lpstr>3f</vt:lpstr>
      <vt:lpstr>4</vt:lpstr>
      <vt:lpstr>5</vt:lpstr>
      <vt:lpstr>6</vt:lpstr>
      <vt:lpstr>7</vt:lpstr>
      <vt:lpstr>8</vt:lpstr>
      <vt:lpstr>9</vt:lpstr>
      <vt:lpstr>10</vt:lpstr>
      <vt:lpstr>11a</vt:lpstr>
      <vt:lpstr>11b</vt:lpstr>
      <vt:lpstr>12a</vt:lpstr>
      <vt:lpstr>12b</vt:lpstr>
      <vt:lpstr>13a</vt:lpstr>
      <vt:lpstr>13b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UK Health Accounts reference tables</dc:title>
  <dc:creator>Prendergast, Thomas</dc:creator>
  <cp:lastModifiedBy>Hugh Logan Ellis</cp:lastModifiedBy>
  <dcterms:created xsi:type="dcterms:W3CDTF">2022-01-20T12:20:56Z</dcterms:created>
  <dcterms:modified xsi:type="dcterms:W3CDTF">2023-02-21T23:25:24Z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4302500</vt:r8>
  </property>
  <property fmtid="{D5CDD505-2E9C-101B-9397-08002B2CF9AE}" pid="4" name="WorkflowChangePath">
    <vt:lpwstr>2395d2b5-5d32-40ac-981b-f5f663b5fc40,2;2395d2b5-5d32-40ac-981b-f5f663b5fc40,3;</vt:lpwstr>
  </property>
</Properties>
</file>