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5195" windowHeight="9675" tabRatio="815"/>
  </bookViews>
  <sheets>
    <sheet name="j settings" sheetId="20" r:id="rId1"/>
    <sheet name="retail-comparison" sheetId="34" r:id="rId2"/>
    <sheet name="compare-old" sheetId="19" r:id="rId3"/>
    <sheet name="optimal-build" sheetId="15" r:id="rId4"/>
    <sheet name="hd-vs-ssd-comparison" sheetId="8" r:id="rId5"/>
    <sheet name="number-of-machines" sheetId="35" r:id="rId6"/>
    <sheet name="quad-i7-ssd-j2" sheetId="21" r:id="rId7"/>
    <sheet name="quad-i7-ssd-j4" sheetId="1" r:id="rId8"/>
    <sheet name="quad-i7-ssd-j8" sheetId="10" r:id="rId9"/>
    <sheet name="quad-i7-ssd-j16" sheetId="25" r:id="rId10"/>
    <sheet name="dual-i7-ssd-j2" sheetId="22" r:id="rId11"/>
    <sheet name="dual-i7-ssd-j4" sheetId="2" r:id="rId12"/>
    <sheet name="dual-i7-ssd-j8" sheetId="11" r:id="rId13"/>
    <sheet name="dual-i7-ssd-j16" sheetId="26" r:id="rId14"/>
    <sheet name="dual-i7-hd-j2" sheetId="23" r:id="rId15"/>
    <sheet name="dual-i7-hd-j4" sheetId="3" r:id="rId16"/>
    <sheet name="dual-i7-hd-j8" sheetId="12" r:id="rId17"/>
    <sheet name="dual-i7-hd-j16" sheetId="27" r:id="rId18"/>
    <sheet name="dual-i5-hd-j2" sheetId="24" r:id="rId19"/>
    <sheet name="dual-i5-hd-j4" sheetId="6" r:id="rId20"/>
    <sheet name="dual-i5-hd-j8" sheetId="13" r:id="rId21"/>
    <sheet name="dual-i5-hd-j16" sheetId="28" r:id="rId22"/>
    <sheet name="moz2-darwin10-data" sheetId="18" r:id="rId23"/>
    <sheet name="quad-i7-ssd-j12" sheetId="29" r:id="rId24"/>
    <sheet name="dual-i7-ssd-j12" sheetId="31" r:id="rId25"/>
    <sheet name="dual-i7-hd-j12" sheetId="32" r:id="rId26"/>
    <sheet name="dual-i5-hd-j12" sheetId="33" r:id="rId27"/>
  </sheets>
  <definedNames>
    <definedName name="moz2_compile" localSheetId="22">'moz2-darwin10-data'!$A$2:$A$21</definedName>
    <definedName name="moz2_symbols" localSheetId="22">'moz2-darwin10-data'!$B$2:$B$21</definedName>
  </definedNames>
  <calcPr calcId="145621"/>
</workbook>
</file>

<file path=xl/calcChain.xml><?xml version="1.0" encoding="utf-8"?>
<calcChain xmlns="http://schemas.openxmlformats.org/spreadsheetml/2006/main">
  <c r="C4" i="35" l="1"/>
  <c r="C5" i="35"/>
  <c r="E5" i="35" s="1"/>
  <c r="C6" i="35"/>
  <c r="C7" i="35"/>
  <c r="C3" i="35"/>
  <c r="B6" i="35"/>
  <c r="E6" i="35" s="1"/>
  <c r="B5" i="35"/>
  <c r="B4" i="35"/>
  <c r="E4" i="35" s="1"/>
  <c r="B3" i="35"/>
  <c r="E3" i="35" s="1"/>
  <c r="B7" i="35"/>
  <c r="E7" i="35" s="1"/>
  <c r="G7" i="35" s="1"/>
  <c r="G3" i="34"/>
  <c r="G4" i="34"/>
  <c r="G5" i="34"/>
  <c r="G2" i="34"/>
  <c r="F3" i="34"/>
  <c r="F4" i="34"/>
  <c r="F5" i="34"/>
  <c r="F2" i="34"/>
  <c r="E3" i="34"/>
  <c r="E4" i="34"/>
  <c r="E5" i="34"/>
  <c r="E2" i="34"/>
  <c r="B2" i="34"/>
  <c r="D2" i="34" s="1"/>
  <c r="D3" i="34"/>
  <c r="D4" i="34"/>
  <c r="D5" i="34"/>
  <c r="B5" i="34"/>
  <c r="B4" i="34"/>
  <c r="B3" i="34"/>
  <c r="B8" i="8"/>
  <c r="C8" i="8"/>
  <c r="D8" i="8"/>
  <c r="E8" i="8"/>
  <c r="F8" i="8"/>
  <c r="G8" i="8"/>
  <c r="A8" i="8"/>
  <c r="A5" i="19"/>
  <c r="B5" i="19"/>
  <c r="A28" i="18"/>
  <c r="F4" i="20"/>
  <c r="E6" i="20"/>
  <c r="D6" i="20"/>
  <c r="C6" i="20"/>
  <c r="B6" i="20"/>
  <c r="B5" i="33"/>
  <c r="C5" i="33"/>
  <c r="D5" i="33"/>
  <c r="E5" i="33"/>
  <c r="F5" i="33"/>
  <c r="G5" i="33"/>
  <c r="A5" i="33"/>
  <c r="B3" i="33"/>
  <c r="C3" i="33"/>
  <c r="D3" i="33"/>
  <c r="E3" i="33"/>
  <c r="F3" i="33"/>
  <c r="G3" i="33"/>
  <c r="A3" i="33"/>
  <c r="B5" i="32"/>
  <c r="C5" i="32"/>
  <c r="D5" i="32"/>
  <c r="E5" i="32"/>
  <c r="F5" i="32"/>
  <c r="G5" i="32"/>
  <c r="A5" i="32"/>
  <c r="B3" i="32"/>
  <c r="C3" i="32"/>
  <c r="D3" i="32"/>
  <c r="E3" i="32"/>
  <c r="F3" i="32"/>
  <c r="G3" i="32"/>
  <c r="A3" i="32"/>
  <c r="B5" i="31"/>
  <c r="C5" i="31"/>
  <c r="D5" i="31"/>
  <c r="E5" i="31"/>
  <c r="F5" i="31"/>
  <c r="G5" i="31"/>
  <c r="B3" i="31"/>
  <c r="C3" i="31"/>
  <c r="D3" i="31"/>
  <c r="E3" i="31"/>
  <c r="F3" i="31"/>
  <c r="G3" i="31"/>
  <c r="A5" i="31"/>
  <c r="A3" i="31"/>
  <c r="B5" i="29"/>
  <c r="C5" i="29"/>
  <c r="D5" i="29"/>
  <c r="E5" i="29"/>
  <c r="F5" i="29"/>
  <c r="G5" i="29"/>
  <c r="A5" i="29"/>
  <c r="B3" i="29"/>
  <c r="C3" i="29"/>
  <c r="D3" i="29"/>
  <c r="E3" i="29"/>
  <c r="F3" i="29"/>
  <c r="G3" i="29"/>
  <c r="A3" i="29"/>
  <c r="A22" i="18"/>
  <c r="B23" i="18"/>
  <c r="E7" i="20"/>
  <c r="D7" i="20"/>
  <c r="C7" i="20"/>
  <c r="B7" i="20"/>
  <c r="B5" i="28"/>
  <c r="C5" i="28"/>
  <c r="D5" i="28"/>
  <c r="E5" i="28"/>
  <c r="F5" i="28"/>
  <c r="G5" i="28"/>
  <c r="B3" i="28"/>
  <c r="C3" i="28"/>
  <c r="D3" i="28"/>
  <c r="E3" i="28"/>
  <c r="F3" i="28"/>
  <c r="G3" i="28"/>
  <c r="A5" i="28"/>
  <c r="A3" i="28"/>
  <c r="B5" i="27"/>
  <c r="C5" i="27"/>
  <c r="D5" i="27"/>
  <c r="E5" i="27"/>
  <c r="F5" i="27"/>
  <c r="G5" i="27"/>
  <c r="B3" i="27"/>
  <c r="C3" i="27"/>
  <c r="D3" i="27"/>
  <c r="E3" i="27"/>
  <c r="F3" i="27"/>
  <c r="G3" i="27"/>
  <c r="A5" i="27"/>
  <c r="A3" i="27"/>
  <c r="B5" i="26"/>
  <c r="C5" i="26"/>
  <c r="D5" i="26"/>
  <c r="E5" i="26"/>
  <c r="F5" i="26"/>
  <c r="G5" i="26"/>
  <c r="B3" i="26"/>
  <c r="C3" i="26"/>
  <c r="D3" i="26"/>
  <c r="E3" i="26"/>
  <c r="F3" i="26"/>
  <c r="G3" i="26"/>
  <c r="A5" i="26"/>
  <c r="A3" i="26"/>
  <c r="B5" i="25"/>
  <c r="C5" i="25"/>
  <c r="D5" i="25"/>
  <c r="E5" i="25"/>
  <c r="F5" i="25"/>
  <c r="G5" i="25"/>
  <c r="A5" i="25"/>
  <c r="B3" i="25"/>
  <c r="C3" i="25"/>
  <c r="D3" i="25"/>
  <c r="E3" i="25"/>
  <c r="F3" i="25"/>
  <c r="G3" i="25"/>
  <c r="A3" i="25"/>
  <c r="E3" i="20"/>
  <c r="D3" i="20"/>
  <c r="C3" i="20"/>
  <c r="B3" i="20"/>
  <c r="B5" i="24"/>
  <c r="C5" i="24"/>
  <c r="D5" i="24"/>
  <c r="E5" i="24"/>
  <c r="F5" i="24"/>
  <c r="G5" i="24"/>
  <c r="B3" i="24"/>
  <c r="C3" i="24"/>
  <c r="D3" i="24"/>
  <c r="E3" i="24"/>
  <c r="F3" i="24"/>
  <c r="G3" i="24"/>
  <c r="A5" i="24"/>
  <c r="A3" i="24"/>
  <c r="B5" i="23"/>
  <c r="C5" i="23"/>
  <c r="D5" i="23"/>
  <c r="E5" i="23"/>
  <c r="F5" i="23"/>
  <c r="G5" i="23"/>
  <c r="B3" i="23"/>
  <c r="C3" i="23"/>
  <c r="D3" i="23"/>
  <c r="E3" i="23"/>
  <c r="F3" i="23"/>
  <c r="G3" i="23"/>
  <c r="A5" i="23"/>
  <c r="A3" i="23"/>
  <c r="B5" i="22"/>
  <c r="C5" i="22"/>
  <c r="D5" i="22"/>
  <c r="E5" i="22"/>
  <c r="F5" i="22"/>
  <c r="G5" i="22"/>
  <c r="A5" i="22"/>
  <c r="B3" i="22"/>
  <c r="C3" i="22"/>
  <c r="D3" i="22"/>
  <c r="E3" i="22"/>
  <c r="F3" i="22"/>
  <c r="G3" i="22"/>
  <c r="A3" i="22"/>
  <c r="B5" i="21"/>
  <c r="C5" i="21"/>
  <c r="D5" i="21"/>
  <c r="E5" i="21"/>
  <c r="F5" i="21"/>
  <c r="G5" i="21"/>
  <c r="B3" i="21"/>
  <c r="C3" i="21"/>
  <c r="D3" i="21"/>
  <c r="E3" i="21"/>
  <c r="F3" i="21"/>
  <c r="G3" i="21"/>
  <c r="A5" i="21"/>
  <c r="A3" i="21"/>
  <c r="E5" i="20"/>
  <c r="E4" i="20"/>
  <c r="D5" i="20"/>
  <c r="D4" i="20"/>
  <c r="C5" i="20"/>
  <c r="C4" i="20"/>
  <c r="B4" i="2"/>
  <c r="B6" i="19" s="1"/>
  <c r="B5" i="20"/>
  <c r="B4" i="20"/>
  <c r="C8" i="19"/>
  <c r="C7" i="19"/>
  <c r="C6" i="19"/>
  <c r="C5" i="19"/>
  <c r="B8" i="19"/>
  <c r="B7" i="19"/>
  <c r="A8" i="19"/>
  <c r="A7" i="19"/>
  <c r="A6" i="19"/>
  <c r="A23" i="18"/>
  <c r="B22" i="18"/>
  <c r="A3" i="8"/>
  <c r="C3" i="8"/>
  <c r="D3" i="8"/>
  <c r="E3" i="8"/>
  <c r="F3" i="8"/>
  <c r="G3" i="8"/>
  <c r="G6" i="13"/>
  <c r="F6" i="13"/>
  <c r="E6" i="13"/>
  <c r="D6" i="13"/>
  <c r="C6" i="13"/>
  <c r="B6" i="13"/>
  <c r="A6" i="13"/>
  <c r="G4" i="13"/>
  <c r="F4" i="13"/>
  <c r="E4" i="13"/>
  <c r="D4" i="13"/>
  <c r="C4" i="13"/>
  <c r="B4" i="13"/>
  <c r="A4" i="13"/>
  <c r="G3" i="13"/>
  <c r="F3" i="13"/>
  <c r="E3" i="13"/>
  <c r="D3" i="13"/>
  <c r="C3" i="13"/>
  <c r="B3" i="13"/>
  <c r="A3" i="13"/>
  <c r="B5" i="12"/>
  <c r="C5" i="12"/>
  <c r="D5" i="12"/>
  <c r="E5" i="12"/>
  <c r="F5" i="12"/>
  <c r="G5" i="12"/>
  <c r="B3" i="12"/>
  <c r="C3" i="12"/>
  <c r="D3" i="12"/>
  <c r="E3" i="12"/>
  <c r="F3" i="12"/>
  <c r="G3" i="12"/>
  <c r="A5" i="12"/>
  <c r="A3" i="12"/>
  <c r="B5" i="11"/>
  <c r="C5" i="11"/>
  <c r="D5" i="11"/>
  <c r="E5" i="11"/>
  <c r="F5" i="11"/>
  <c r="G5" i="11"/>
  <c r="B3" i="11"/>
  <c r="C3" i="11"/>
  <c r="D3" i="11"/>
  <c r="E3" i="11"/>
  <c r="F3" i="11"/>
  <c r="G3" i="11"/>
  <c r="A5" i="11"/>
  <c r="A3" i="11"/>
  <c r="B5" i="10"/>
  <c r="C5" i="10"/>
  <c r="D5" i="10"/>
  <c r="E5" i="10"/>
  <c r="F5" i="10"/>
  <c r="G5" i="10"/>
  <c r="B3" i="10"/>
  <c r="C3" i="10"/>
  <c r="D3" i="10"/>
  <c r="E3" i="10"/>
  <c r="F3" i="10"/>
  <c r="G3" i="10"/>
  <c r="A5" i="10"/>
  <c r="A3" i="10"/>
  <c r="G5" i="35" l="1"/>
  <c r="G4" i="35"/>
  <c r="G6" i="35"/>
  <c r="G3" i="35"/>
  <c r="B3" i="8"/>
  <c r="N9" i="6"/>
  <c r="N8" i="6"/>
  <c r="G3" i="2"/>
  <c r="A3" i="1"/>
  <c r="B3" i="6"/>
  <c r="C3" i="6"/>
  <c r="D3" i="6"/>
  <c r="E3" i="6"/>
  <c r="F3" i="6"/>
  <c r="G3" i="6"/>
  <c r="A3" i="6"/>
  <c r="B3" i="3"/>
  <c r="C3" i="3"/>
  <c r="D3" i="3"/>
  <c r="E3" i="3"/>
  <c r="F3" i="3"/>
  <c r="G3" i="3"/>
  <c r="A3" i="3"/>
  <c r="B3" i="2"/>
  <c r="C3" i="2"/>
  <c r="D3" i="2"/>
  <c r="E3" i="2"/>
  <c r="F3" i="2"/>
  <c r="A3" i="2"/>
  <c r="B3" i="1"/>
  <c r="C3" i="1"/>
  <c r="D3" i="1"/>
  <c r="E3" i="1"/>
  <c r="F3" i="1"/>
  <c r="G3" i="1"/>
  <c r="B6" i="6"/>
  <c r="C6" i="6"/>
  <c r="D6" i="6"/>
  <c r="E6" i="6"/>
  <c r="F6" i="6"/>
  <c r="G6" i="6"/>
  <c r="A6" i="6"/>
  <c r="B4" i="6"/>
  <c r="C4" i="6"/>
  <c r="D4" i="6"/>
  <c r="E4" i="6"/>
  <c r="F4" i="6"/>
  <c r="G4" i="6"/>
  <c r="A4" i="6"/>
  <c r="B6" i="3"/>
  <c r="C6" i="3"/>
  <c r="D6" i="3"/>
  <c r="E6" i="3"/>
  <c r="F6" i="3"/>
  <c r="G6" i="3"/>
  <c r="A6" i="3"/>
  <c r="B4" i="3"/>
  <c r="C4" i="3"/>
  <c r="D4" i="3"/>
  <c r="E4" i="3"/>
  <c r="F4" i="3"/>
  <c r="G4" i="3"/>
  <c r="A4" i="3"/>
  <c r="B6" i="2"/>
  <c r="C6" i="2"/>
  <c r="D6" i="2"/>
  <c r="E6" i="2"/>
  <c r="F6" i="2"/>
  <c r="G6" i="2"/>
  <c r="A6" i="2"/>
  <c r="C4" i="2"/>
  <c r="D4" i="2"/>
  <c r="E4" i="2"/>
  <c r="F4" i="2"/>
  <c r="G4" i="2"/>
  <c r="A4" i="2"/>
  <c r="B6" i="1"/>
  <c r="C6" i="1"/>
  <c r="D6" i="1"/>
  <c r="E6" i="1"/>
  <c r="F6" i="1"/>
  <c r="G6" i="1"/>
  <c r="A6" i="1"/>
  <c r="B4" i="1"/>
  <c r="C4" i="1"/>
  <c r="D4" i="1"/>
  <c r="E4" i="1"/>
  <c r="F4" i="1"/>
  <c r="G4" i="1"/>
  <c r="A4" i="1"/>
</calcChain>
</file>

<file path=xl/connections.xml><?xml version="1.0" encoding="utf-8"?>
<connections xmlns="http://schemas.openxmlformats.org/spreadsheetml/2006/main">
  <connection id="1" name="dual-i7-27-ssd-bench-data-processed" type="6" refreshedVersion="0" background="1">
    <textPr codePage="437" sourceFile="\\vmware-host\Shared Folders\jhford\mozilla\eval-r5\plain\dual-i7-27-ssd-bench-data-processed.csv" comma="1">
      <textFields count="7">
        <textField/>
        <textField/>
        <textField/>
        <textField/>
        <textField/>
        <textField/>
        <textField/>
      </textFields>
    </textPr>
  </connection>
  <connection id="2" name="moz2-compile" type="6" refreshedVersion="4" background="1" saveData="1">
    <textPr codePage="437" sourceFile="\\vmware-host\Shared Folders\jhford\mozilla\eval-r5\moz2-compile.txt" consecutive="1" delimiter="|">
      <textFields count="4">
        <textField type="skip"/>
        <textField/>
        <textField/>
        <textField type="skip"/>
      </textFields>
    </textPr>
  </connection>
  <connection id="3" name="moz2-symbols" type="6" refreshedVersion="4" background="1" saveData="1">
    <textPr codePage="437" sourceFile="\\vmware-host\Shared Folders\jhford\mozilla\eval-r5\moz2-symbols.txt" delimiter="|">
      <textFields count="4">
        <textField type="skip"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<sst xmlns="http://schemas.openxmlformats.org/spreadsheetml/2006/main" count="243" uniqueCount="56">
  <si>
    <t>AVERAGE</t>
  </si>
  <si>
    <t>STANDARD DEVIATION</t>
  </si>
  <si>
    <t>clone</t>
  </si>
  <si>
    <t>build</t>
  </si>
  <si>
    <t>package</t>
  </si>
  <si>
    <t>packagetests</t>
  </si>
  <si>
    <t>symbols</t>
  </si>
  <si>
    <t>clobber</t>
  </si>
  <si>
    <t>total</t>
  </si>
  <si>
    <t>STDDEV</t>
  </si>
  <si>
    <t>Quad i7 2.0 GHz SSD -j4</t>
  </si>
  <si>
    <t>Dual i7 2.7GHz SSD -j4</t>
  </si>
  <si>
    <t>Dual i5 2.3 GHz 5400rpm -j4</t>
  </si>
  <si>
    <t>Dual i7 2.7GHz 7200rpm -j4</t>
  </si>
  <si>
    <t>Relative Performance improvement of SSD vs 7200RPM drive</t>
  </si>
  <si>
    <t>Absolute Performance improvement of SSD vs 7200RPM drive</t>
  </si>
  <si>
    <t>Quad i7 2.0GHz SSD -j8</t>
  </si>
  <si>
    <t>Dual i7 2.7 GHz SSD -j8</t>
  </si>
  <si>
    <t>Dual i7 2.7GHz 7200rpm -j8</t>
  </si>
  <si>
    <t>Dual i5 2.3 GHz 5400rpm -j8</t>
  </si>
  <si>
    <t>Core 2 Duo 1.83 GHz 5400rpm -j4</t>
  </si>
  <si>
    <t>Compile</t>
  </si>
  <si>
    <t>Symbols</t>
  </si>
  <si>
    <t>J Setting</t>
  </si>
  <si>
    <t>Quad i7 2.0 GHz SSD</t>
  </si>
  <si>
    <t>Dual i7 2.7 GHz 7200rpm</t>
  </si>
  <si>
    <t>Dual i7 2.7 GHz SSD</t>
  </si>
  <si>
    <t>Quad i7 2.0 GHz SSD -j2</t>
  </si>
  <si>
    <t>Dual i7 2.7 GHz SSD -j2</t>
  </si>
  <si>
    <t>Dual i5 2.3 GHz 5400 rpm -j2</t>
  </si>
  <si>
    <t>Dual i7 2.7 GHz 7200rpm -j2</t>
  </si>
  <si>
    <t>Dual i5 2.3 GHz 5400rpm -j16</t>
  </si>
  <si>
    <t>Dual i7 2.7 GHz 7200rpm -j16</t>
  </si>
  <si>
    <t>Dual i7 2.7 GHz SSD -j16</t>
  </si>
  <si>
    <t>Quad i7 2.0 GHz SSD -j16</t>
  </si>
  <si>
    <t>Quad i7 2.0 GHz SSD -j12</t>
  </si>
  <si>
    <t>Dual i7 2.7 GHz SSD -j12</t>
  </si>
  <si>
    <t>Dual i7 2.7 GHz 7200rpm -j12</t>
  </si>
  <si>
    <t>Dual i5 2.3 GHz 5400rpm -j12</t>
  </si>
  <si>
    <t>Core 2 Duo 1.83 GHz 5400rpm</t>
  </si>
  <si>
    <t>Spec Name</t>
  </si>
  <si>
    <t>Price</t>
  </si>
  <si>
    <t>Time Saved (minutes)</t>
  </si>
  <si>
    <t>0% discount</t>
  </si>
  <si>
    <t>5% discount</t>
  </si>
  <si>
    <t>10% discount</t>
  </si>
  <si>
    <t>15% discount</t>
  </si>
  <si>
    <t>Dual i7 2.7 GHz SSD -j4</t>
  </si>
  <si>
    <t>Dual i7 2.7 GHz 7200rpm -j4</t>
  </si>
  <si>
    <t>Time</t>
  </si>
  <si>
    <t>Time Period</t>
  </si>
  <si>
    <t>Number Machines</t>
  </si>
  <si>
    <t>Total</t>
  </si>
  <si>
    <t>Number Of Builds</t>
  </si>
  <si>
    <t>I got 345 by adjusting until the number of machines needed for the existing hardware equaled the number of minis we have in production in that pool now</t>
  </si>
  <si>
    <t>Dual i5 2.7 GHz 5400rpm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</si>
</sst>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</a:t>
            </a:r>
            <a:r>
              <a:rPr lang="en-US" baseline="0"/>
              <a:t> time vs -j setting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 settings'!$B$1</c:f>
              <c:strCache>
                <c:ptCount val="1"/>
                <c:pt idx="0">
                  <c:v>Quad i7 2.0 GHz SSD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settings'!$B$2:$B$7</c:f>
              <c:numCache>
                <c:formatCode>General</c:formatCode>
                <c:ptCount val="6"/>
                <c:pt idx="1">
                  <c:v>3634.4</c:v>
                </c:pt>
                <c:pt idx="2">
                  <c:v>2599.9404761904761</c:v>
                </c:pt>
                <c:pt idx="3">
                  <c:v>2388.7142857142858</c:v>
                </c:pt>
                <c:pt idx="4">
                  <c:v>2371.1999999999998</c:v>
                </c:pt>
                <c:pt idx="5">
                  <c:v>2385.25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 settings'!$C$1</c:f>
              <c:strCache>
                <c:ptCount val="1"/>
                <c:pt idx="0">
                  <c:v>Dual i7 2.7 GHz SSD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settings'!$C$2:$C$7</c:f>
              <c:numCache>
                <c:formatCode>General</c:formatCode>
                <c:ptCount val="6"/>
                <c:pt idx="1">
                  <c:v>3606.2</c:v>
                </c:pt>
                <c:pt idx="2">
                  <c:v>2800.7777777777778</c:v>
                </c:pt>
                <c:pt idx="3">
                  <c:v>2842.5714285714284</c:v>
                </c:pt>
                <c:pt idx="4">
                  <c:v>2825.3333333333335</c:v>
                </c:pt>
                <c:pt idx="5">
                  <c:v>2889.2222222222222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 settings'!$D$1</c:f>
              <c:strCache>
                <c:ptCount val="1"/>
                <c:pt idx="0">
                  <c:v>Dual i7 2.7 GHz 7200rpm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settings'!$D$2:$D$7</c:f>
              <c:numCache>
                <c:formatCode>General</c:formatCode>
                <c:ptCount val="6"/>
                <c:pt idx="1">
                  <c:v>3753.25</c:v>
                </c:pt>
                <c:pt idx="2">
                  <c:v>2926.6827586206896</c:v>
                </c:pt>
                <c:pt idx="3">
                  <c:v>3008.294117647059</c:v>
                </c:pt>
                <c:pt idx="4">
                  <c:v>3064.3333333333335</c:v>
                </c:pt>
                <c:pt idx="5">
                  <c:v>3271.125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'j settings'!$E$1</c:f>
              <c:strCache>
                <c:ptCount val="1"/>
                <c:pt idx="0">
                  <c:v>Dual i5 2.7 GHz 5400rpm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settings'!$E$2:$E$7</c:f>
              <c:numCache>
                <c:formatCode>General</c:formatCode>
                <c:ptCount val="6"/>
                <c:pt idx="1">
                  <c:v>4552.666666666667</c:v>
                </c:pt>
                <c:pt idx="2">
                  <c:v>3578.1463414634145</c:v>
                </c:pt>
                <c:pt idx="3">
                  <c:v>3578.1463414634145</c:v>
                </c:pt>
                <c:pt idx="4">
                  <c:v>3824.8</c:v>
                </c:pt>
                <c:pt idx="5">
                  <c:v>3780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7168"/>
        <c:axId val="118287744"/>
      </c:scatterChart>
      <c:valAx>
        <c:axId val="118287168"/>
        <c:scaling>
          <c:orientation val="minMax"/>
          <c:max val="1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-j setting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87744"/>
        <c:crosses val="autoZero"/>
        <c:crossBetween val="midCat"/>
        <c:majorUnit val="1"/>
      </c:valAx>
      <c:valAx>
        <c:axId val="118287744"/>
        <c:scaling>
          <c:orientation val="minMax"/>
          <c:max val="475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18287168"/>
        <c:crosses val="autoZero"/>
        <c:crossBetween val="midCat"/>
        <c:majorUnit val="25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of each minute saved during build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'retail-comparison'!$D$1</c:f>
              <c:strCache>
                <c:ptCount val="1"/>
                <c:pt idx="0">
                  <c:v>0%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'retail-comparison'!$D$2:$D$5</c:f>
              <c:numCache>
                <c:formatCode>"$"#,##0.00</c:formatCode>
                <c:ptCount val="4"/>
                <c:pt idx="0">
                  <c:v>14.142724471895868</c:v>
                </c:pt>
                <c:pt idx="1">
                  <c:v>16.043128607675509</c:v>
                </c:pt>
                <c:pt idx="2">
                  <c:v>12.032335593901614</c:v>
                </c:pt>
                <c:pt idx="3">
                  <c:v>9.6722938294811787</c:v>
                </c:pt>
              </c:numCache>
            </c:numRef>
          </c:val>
        </c:ser>
        <c:ser>
          <c:idx val="1"/>
          <c:order val="1"/>
          <c:tx>
            <c:strRef>
              <c:f>'retail-comparison'!$E$1</c:f>
              <c:strCache>
                <c:ptCount val="1"/>
                <c:pt idx="0">
                  <c:v>5%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'retail-comparison'!$E$2:$E$5</c:f>
              <c:numCache>
                <c:formatCode>"$"#,##0.00</c:formatCode>
                <c:ptCount val="4"/>
                <c:pt idx="0">
                  <c:v>13.435588248301075</c:v>
                </c:pt>
                <c:pt idx="1">
                  <c:v>15.240972177291733</c:v>
                </c:pt>
                <c:pt idx="2">
                  <c:v>11.430718814206534</c:v>
                </c:pt>
                <c:pt idx="3">
                  <c:v>9.1886791380071191</c:v>
                </c:pt>
              </c:numCache>
            </c:numRef>
          </c:val>
        </c:ser>
        <c:ser>
          <c:idx val="2"/>
          <c:order val="2"/>
          <c:tx>
            <c:strRef>
              <c:f>'retail-comparison'!$F$1</c:f>
              <c:strCache>
                <c:ptCount val="1"/>
                <c:pt idx="0">
                  <c:v>10%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'retail-comparison'!$F$2:$F$5</c:f>
              <c:numCache>
                <c:formatCode>"$"#,##0.00</c:formatCode>
                <c:ptCount val="4"/>
                <c:pt idx="0">
                  <c:v>12.728452024706282</c:v>
                </c:pt>
                <c:pt idx="1">
                  <c:v>14.438815746907958</c:v>
                </c:pt>
                <c:pt idx="2">
                  <c:v>10.829102034511454</c:v>
                </c:pt>
                <c:pt idx="3">
                  <c:v>8.7050644465330613</c:v>
                </c:pt>
              </c:numCache>
            </c:numRef>
          </c:val>
        </c:ser>
        <c:ser>
          <c:idx val="3"/>
          <c:order val="3"/>
          <c:tx>
            <c:strRef>
              <c:f>'retail-comparison'!$G$1</c:f>
              <c:strCache>
                <c:ptCount val="1"/>
                <c:pt idx="0">
                  <c:v>15%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'retail-comparison'!$G$2:$G$5</c:f>
              <c:numCache>
                <c:formatCode>"$"#,##0.00</c:formatCode>
                <c:ptCount val="4"/>
                <c:pt idx="0">
                  <c:v>10.607043353921901</c:v>
                </c:pt>
                <c:pt idx="1">
                  <c:v>12.032346455756631</c:v>
                </c:pt>
                <c:pt idx="2">
                  <c:v>9.0242516954262104</c:v>
                </c:pt>
                <c:pt idx="3">
                  <c:v>7.2542203721108844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71008"/>
        <c:axId val="118290048"/>
      </c:barChart>
      <c:catAx>
        <c:axId val="417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90048"/>
        <c:crosses val="autoZero"/>
        <c:auto val="1"/>
        <c:lblAlgn val="ctr"/>
        <c:lblOffset val="100"/>
        <c:noMultiLvlLbl val="0"/>
      </c:catAx>
      <c:valAx>
        <c:axId val="11829004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177100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</a:t>
            </a:r>
            <a:r>
              <a:rPr lang="en-US" baseline="0"/>
              <a:t> and Symbol Generation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'compare-old'!$A$5</c:f>
              <c:strCache>
                <c:ptCount val="1"/>
                <c:pt idx="0">
                  <c:v>Quad i7 2.0 GHz SSD -j12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'compare-old'!$B$5:$C$5</c:f>
              <c:numCache>
                <c:formatCode>0.00%</c:formatCode>
                <c:ptCount val="2"/>
                <c:pt idx="0">
                  <c:v>0.25900883679778042</c:v>
                </c:pt>
                <c:pt idx="1">
                  <c:v>0.48981282012097427</c:v>
                </c:pt>
              </c:numCache>
            </c:numRef>
          </c:val>
        </c:ser>
        <c:ser>
          <c:idx val="1"/>
          <c:order val="1"/>
          <c:tx>
            <c:strRef>
              <c:f>'compare-old'!$A$6</c:f>
              <c:strCache>
                <c:ptCount val="1"/>
                <c:pt idx="0">
                  <c:v>Dual i7 2.7GHz SSD -j4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'compare-old'!$B$6:$C$6</c:f>
              <c:numCache>
                <c:formatCode>0.00%</c:formatCode>
                <c:ptCount val="2"/>
                <c:pt idx="0">
                  <c:v>0.30593209950712486</c:v>
                </c:pt>
                <c:pt idx="1">
                  <c:v>0.4143741381051157</c:v>
                </c:pt>
              </c:numCache>
            </c:numRef>
          </c:val>
        </c:ser>
        <c:ser>
          <c:idx val="2"/>
          <c:order val="2"/>
          <c:tx>
            <c:strRef>
              <c:f>'compare-old'!$A$7</c:f>
              <c:strCache>
                <c:ptCount val="1"/>
                <c:pt idx="0">
                  <c:v>Dual i7 2.7GHz 7200rpm -j4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'compare-old'!$B$7:$C$7</c:f>
              <c:numCache>
                <c:formatCode>0.00%</c:formatCode>
                <c:ptCount val="2"/>
                <c:pt idx="0">
                  <c:v>0.31968484184651813</c:v>
                </c:pt>
                <c:pt idx="1">
                  <c:v>0.44648740883707705</c:v>
                </c:pt>
              </c:numCache>
            </c:numRef>
          </c:val>
        </c:ser>
        <c:ser>
          <c:idx val="3"/>
          <c:order val="3"/>
          <c:tx>
            <c:strRef>
              <c:f>'compare-old'!$A$8</c:f>
              <c:strCache>
                <c:ptCount val="1"/>
                <c:pt idx="0">
                  <c:v>Dual i5 2.3 GHz 5400rpm -j4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'compare-old'!$B$8:$C$8</c:f>
              <c:numCache>
                <c:formatCode>0.00%</c:formatCode>
                <c:ptCount val="2"/>
                <c:pt idx="0">
                  <c:v>0.39084494002811765</c:v>
                </c:pt>
                <c:pt idx="1">
                  <c:v>0.54911083635837221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48608"/>
        <c:axId val="41885696"/>
      </c:barChart>
      <c:catAx>
        <c:axId val="413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85696"/>
        <c:crosses val="autoZero"/>
        <c:auto val="1"/>
        <c:lblAlgn val="ctr"/>
        <c:lblOffset val="100"/>
        <c:noMultiLvlLbl val="0"/>
      </c:catAx>
      <c:valAx>
        <c:axId val="4188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Current</a:t>
                </a:r>
                <a:r>
                  <a:rPr lang="en-US" baseline="0"/>
                  <a:t> Time (lower is better)</a:t>
                </a:r>
              </a:p>
            </c:rich>
          </c:tx>
          <c:layout>
            <c:manualLayout>
              <c:xMode val="edge"/>
              <c:yMode val="edge"/>
              <c:x val="8.0418143954303252E-3"/>
              <c:y val="0.2725670749489647"/>
            </c:manualLayout>
          </c:layout>
          <c:overlay val="0"/>
        </c:title>
        <c:numFmt formatCode="0.00%" sourceLinked="1"/>
        <c:majorTickMark val="out"/>
        <c:minorTickMark val="in"/>
        <c:tickLblPos val="nextTo"/>
        <c:crossAx val="4134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</a:t>
            </a:r>
            <a:r>
              <a:rPr lang="en-US" baseline="0"/>
              <a:t> and Symbol Generation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'quad-i7-ssd-j12'!$A$1:$G$1</c:f>
              <c:strCache>
                <c:ptCount val="1"/>
                <c:pt idx="0">
                  <c:v>Quad i7 2.0 GHz SSD -j12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('quad-i7-ssd-j12'!$B$3,'quad-i7-ssd-j12'!$E$3)</c:f>
              <c:numCache>
                <c:formatCode>General</c:formatCode>
                <c:ptCount val="2"/>
                <c:pt idx="0">
                  <c:v>2371.1999999999998</c:v>
                </c:pt>
                <c:pt idx="1">
                  <c:v>708.6</c:v>
                </c:pt>
              </c:numCache>
            </c:numRef>
          </c:val>
        </c:ser>
        <c:ser>
          <c:idx val="2"/>
          <c:order val="1"/>
          <c:tx>
            <c:strRef>
              <c:f>'dual-i7-ssd-j4'!$A$1:$G$1</c:f>
              <c:strCache>
                <c:ptCount val="1"/>
                <c:pt idx="0">
                  <c:v>Dual i7 2.7GHz SSD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('dual-i7-ssd-j4'!$B$4,'dual-i7-ssd-j4'!$E$4)</c:f>
              <c:numCache>
                <c:formatCode>General</c:formatCode>
                <c:ptCount val="2"/>
                <c:pt idx="0">
                  <c:v>2800.7777777777778</c:v>
                </c:pt>
                <c:pt idx="1">
                  <c:v>600.40740740740739</c:v>
                </c:pt>
              </c:numCache>
            </c:numRef>
          </c:val>
        </c:ser>
        <c:ser>
          <c:idx val="3"/>
          <c:order val="2"/>
          <c:tx>
            <c:strRef>
              <c:f>'dual-i7-hd-j4'!$A$1:$G$1</c:f>
              <c:strCache>
                <c:ptCount val="1"/>
                <c:pt idx="0">
                  <c:v>Dual i7 2.7GHz 7200rpm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('dual-i7-hd-j4'!$B$4,'dual-i7-hd-j4'!$E$4)</c:f>
              <c:numCache>
                <c:formatCode>General</c:formatCode>
                <c:ptCount val="2"/>
                <c:pt idx="0">
                  <c:v>2926.6827586206896</c:v>
                </c:pt>
                <c:pt idx="1">
                  <c:v>646.93793103448274</c:v>
                </c:pt>
              </c:numCache>
            </c:numRef>
          </c:val>
        </c:ser>
        <c:ser>
          <c:idx val="4"/>
          <c:order val="3"/>
          <c:tx>
            <c:strRef>
              <c:f>'dual-i5-hd-j4'!$A$1:$G$1</c:f>
              <c:strCache>
                <c:ptCount val="1"/>
                <c:pt idx="0">
                  <c:v>Dual i5 2.3 GHz 5400rpm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('dual-i5-hd-j4'!$B$4,'dual-i5-hd-j4'!$E$4)</c:f>
              <c:numCache>
                <c:formatCode>General</c:formatCode>
                <c:ptCount val="2"/>
                <c:pt idx="0">
                  <c:v>3578.1463414634145</c:v>
                </c:pt>
                <c:pt idx="1">
                  <c:v>795.63414634146341</c:v>
                </c:pt>
              </c:numCache>
            </c:numRef>
          </c:val>
        </c:ser>
        <c:ser>
          <c:idx val="0"/>
          <c:order val="4"/>
          <c:tx>
            <c:strRef>
              <c:f>'moz2-darwin10-data'!$D$2</c:f>
              <c:strCache>
                <c:ptCount val="1"/>
                <c:pt idx="0">
                  <c:v>Core 2 Duo 1.83 GHz 5400rpm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'moz2-darwin10-data'!$A$22:$B$22</c:f>
              <c:numCache>
                <c:formatCode>General</c:formatCode>
                <c:ptCount val="2"/>
                <c:pt idx="0">
                  <c:v>9154.9</c:v>
                </c:pt>
                <c:pt idx="1">
                  <c:v>1448.95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4208"/>
        <c:axId val="41888000"/>
      </c:barChart>
      <c:catAx>
        <c:axId val="420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88000"/>
        <c:crosses val="autoZero"/>
        <c:auto val="1"/>
        <c:lblAlgn val="ctr"/>
        <c:lblOffset val="100"/>
        <c:noMultiLvlLbl val="0"/>
      </c:catAx>
      <c:valAx>
        <c:axId val="41888000"/>
        <c:scaling>
          <c:orientation val="minMax"/>
          <c:max val="1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42014208"/>
        <c:crosses val="autoZero"/>
        <c:crossBetween val="between"/>
        <c:majorUnit val="1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Build and overall time at optimal -j setting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956836097092565E-2"/>
          <c:y val="9.782634165344338E-2"/>
          <c:w val="0.9150312209727911"/>
          <c:h val="0.7879404414171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'quad-i7-ssd-j12'!$A$1:$G$1</c:f>
              <c:strCache>
                <c:ptCount val="1"/>
                <c:pt idx="0">
                  <c:v>Quad i7 2.0 GHz SSD -j12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6.9747160137282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9747160137282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('quad-i7-ssd-j12'!$B$3,'quad-i7-ssd-j12'!$G$3)</c:f>
              <c:numCache>
                <c:formatCode>General</c:formatCode>
                <c:ptCount val="2"/>
                <c:pt idx="0">
                  <c:v>2371.1999999999998</c:v>
                </c:pt>
                <c:pt idx="1">
                  <c:v>3258.7</c:v>
                </c:pt>
              </c:numCache>
            </c:numRef>
          </c:val>
        </c:ser>
        <c:ser>
          <c:idx val="1"/>
          <c:order val="1"/>
          <c:tx>
            <c:strRef>
              <c:f>'dual-i7-ssd-j4'!$A$1:$G$1</c:f>
              <c:strCache>
                <c:ptCount val="1"/>
                <c:pt idx="0">
                  <c:v>Dual i7 2.7GHz SSD -j4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0039231709579755E-17"/>
                  <c:y val="9.2996213516377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007846341915951E-16"/>
                  <c:y val="6.9747160137282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('dual-i7-ssd-j4'!$B$4,'dual-i7-ssd-j4'!$G$4)</c:f>
              <c:numCache>
                <c:formatCode>General</c:formatCode>
                <c:ptCount val="2"/>
                <c:pt idx="0">
                  <c:v>2800.7777777777778</c:v>
                </c:pt>
                <c:pt idx="1">
                  <c:v>3567.3333333333335</c:v>
                </c:pt>
              </c:numCache>
            </c:numRef>
          </c:val>
        </c:ser>
        <c:ser>
          <c:idx val="2"/>
          <c:order val="2"/>
          <c:tx>
            <c:strRef>
              <c:f>'dual-i7-hd-j4'!$A$1:$G$1</c:f>
              <c:strCache>
                <c:ptCount val="1"/>
                <c:pt idx="0">
                  <c:v>Dual i7 2.7GHz 7200rpm -j4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4.6498106758188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007846341915951E-16"/>
                  <c:y val="2.32490533790943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('dual-i7-hd-j4'!$B$4,'dual-i7-hd-j4'!$G$4)</c:f>
              <c:numCache>
                <c:formatCode>General</c:formatCode>
                <c:ptCount val="2"/>
                <c:pt idx="0">
                  <c:v>2926.6827586206896</c:v>
                </c:pt>
                <c:pt idx="1">
                  <c:v>4014.2758620689656</c:v>
                </c:pt>
              </c:numCache>
            </c:numRef>
          </c:val>
        </c:ser>
        <c:ser>
          <c:idx val="3"/>
          <c:order val="3"/>
          <c:tx>
            <c:strRef>
              <c:f>'dual-i5-hd-j4'!$A$1:$G$1</c:f>
              <c:strCache>
                <c:ptCount val="1"/>
                <c:pt idx="0">
                  <c:v>Dual i5 2.3 GHz 5400rpm -j4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0745843175472714E-7"/>
                  <c:y val="9.2996213516377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('dual-i5-hd-j4'!$B$4,'dual-i5-hd-j4'!$G$4)</c:f>
              <c:numCache>
                <c:formatCode>General</c:formatCode>
                <c:ptCount val="2"/>
                <c:pt idx="0">
                  <c:v>3578.1463414634145</c:v>
                </c:pt>
                <c:pt idx="1">
                  <c:v>4750.7886178861791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965056"/>
        <c:axId val="41890304"/>
      </c:barChart>
      <c:catAx>
        <c:axId val="419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890304"/>
        <c:crosses val="autoZero"/>
        <c:auto val="1"/>
        <c:lblAlgn val="ctr"/>
        <c:lblOffset val="100"/>
        <c:noMultiLvlLbl val="0"/>
      </c:catAx>
      <c:valAx>
        <c:axId val="41890304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>
            <c:manualLayout>
              <c:xMode val="edge"/>
              <c:yMode val="edge"/>
              <c:x val="8.1883325073361865E-3"/>
              <c:y val="0.32649579283665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965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Percentage Reduction in time of SSD Over 7200RPM HD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dLbls>
            <c:dLbl>
              <c:idx val="2"/>
              <c:layout>
                <c:manualLayout>
                  <c:x val="-5.954728882679266E-17"/>
                  <c:y val="-6.2305295950155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842159916926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'hd-vs-ssd-comparison'!$A$2:$G$2</c:f>
              <c:strCache>
                <c:ptCount val="7"/>
                <c:pt idx="0">
                  <c:v>clone</c:v>
                </c:pt>
                <c:pt idx="1">
                  <c:v>build</c:v>
                </c:pt>
                <c:pt idx="2">
                  <c:v>package</c:v>
                </c:pt>
                <c:pt idx="3">
                  <c:v>packagetests</c:v>
                </c:pt>
                <c:pt idx="4">
                  <c:v>symbols</c:v>
                </c:pt>
                <c:pt idx="5">
                  <c:v>clobber</c:v>
                </c:pt>
                <c:pt idx="6">
                  <c:v>total</c:v>
                </c:pt>
              </c:strCache>
            </c:strRef>
          </c:cat>
          <c:val>
            <c:numRef>
              <c:f>'hd-vs-ssd-comparison'!$A$3:$G$3</c:f>
              <c:numCache>
                <c:formatCode>0.00%</c:formatCode>
                <c:ptCount val="7"/>
                <c:pt idx="0">
                  <c:v>0.54604041093293909</c:v>
                </c:pt>
                <c:pt idx="1">
                  <c:v>4.3019688578152984E-2</c:v>
                </c:pt>
                <c:pt idx="2">
                  <c:v>0.18545100124047495</c:v>
                </c:pt>
                <c:pt idx="3">
                  <c:v>0.25141840222715578</c:v>
                </c:pt>
                <c:pt idx="4">
                  <c:v>7.1924247126259791E-2</c:v>
                </c:pt>
                <c:pt idx="5">
                  <c:v>0.78650576806314509</c:v>
                </c:pt>
                <c:pt idx="6">
                  <c:v>0.11133826973846213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373120"/>
        <c:axId val="41893184"/>
      </c:barChart>
      <c:catAx>
        <c:axId val="42373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41893184"/>
        <c:crosses val="autoZero"/>
        <c:auto val="1"/>
        <c:lblAlgn val="ctr"/>
        <c:lblOffset val="100"/>
        <c:noMultiLvlLbl val="0"/>
      </c:catAx>
      <c:valAx>
        <c:axId val="4189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Reduction</a:t>
                </a:r>
                <a:r>
                  <a:rPr lang="en-US" baseline="0"/>
                  <a:t> of </a:t>
                </a:r>
                <a:r>
                  <a:rPr lang="en-US"/>
                  <a:t>Time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23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reduction </a:t>
            </a:r>
            <a:r>
              <a:rPr lang="en-US" baseline="0"/>
              <a:t>of SSD over 7200RPM HD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'hd-vs-ssd-comparison'!$A$7:$G$7</c:f>
              <c:strCache>
                <c:ptCount val="7"/>
                <c:pt idx="0">
                  <c:v>clone</c:v>
                </c:pt>
                <c:pt idx="1">
                  <c:v>build</c:v>
                </c:pt>
                <c:pt idx="2">
                  <c:v>package</c:v>
                </c:pt>
                <c:pt idx="3">
                  <c:v>packagetests</c:v>
                </c:pt>
                <c:pt idx="4">
                  <c:v>symbols</c:v>
                </c:pt>
                <c:pt idx="5">
                  <c:v>clobber</c:v>
                </c:pt>
                <c:pt idx="6">
                  <c:v>total</c:v>
                </c:pt>
              </c:strCache>
            </c:strRef>
          </c:cat>
          <c:val>
            <c:numRef>
              <c:f>'hd-vs-ssd-comparison'!$A$8:$G$8</c:f>
              <c:numCache>
                <c:formatCode>General</c:formatCode>
                <c:ptCount val="7"/>
                <c:pt idx="0">
                  <c:v>106.6962962962963</c:v>
                </c:pt>
                <c:pt idx="1">
                  <c:v>125.90498084291175</c:v>
                </c:pt>
                <c:pt idx="2">
                  <c:v>5.3461047254150706</c:v>
                </c:pt>
                <c:pt idx="3">
                  <c:v>3.6446998722860791</c:v>
                </c:pt>
                <c:pt idx="4">
                  <c:v>46.530523627075354</c:v>
                </c:pt>
                <c:pt idx="5">
                  <c:v>158.81992337164752</c:v>
                </c:pt>
                <c:pt idx="6">
                  <c:v>446.9425287356321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773568"/>
        <c:axId val="42853504"/>
      </c:barChart>
      <c:catAx>
        <c:axId val="417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853504"/>
        <c:crosses val="autoZero"/>
        <c:auto val="1"/>
        <c:lblAlgn val="ctr"/>
        <c:lblOffset val="100"/>
        <c:noMultiLvlLbl val="0"/>
      </c:catAx>
      <c:valAx>
        <c:axId val="4285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171450</xdr:rowOff>
    </xdr:from>
    <xdr:to>
      <xdr:col>11</xdr:col>
      <xdr:colOff>142874</xdr:colOff>
      <xdr:row>43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10</xdr:row>
      <xdr:rowOff>33337</xdr:rowOff>
    </xdr:from>
    <xdr:to>
      <xdr:col>11</xdr:col>
      <xdr:colOff>352425</xdr:colOff>
      <xdr:row>38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409572</xdr:colOff>
      <xdr:row>8</xdr:row>
      <xdr:rowOff>128587</xdr:rowOff>
    </xdr:from>
    <xdr:to>
      <xdr:col>13</xdr:col>
      <xdr:colOff>381000</xdr:colOff>
      <xdr:row>37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3</xdr:row>
      <xdr:rowOff>138112</xdr:rowOff>
    </xdr:from>
    <xdr:to>
      <xdr:col>27</xdr:col>
      <xdr:colOff>57150</xdr:colOff>
      <xdr:row>32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23812</xdr:rowOff>
    </xdr:from>
    <xdr:to>
      <xdr:col>18</xdr:col>
      <xdr:colOff>200025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</xdr:row>
      <xdr:rowOff>133350</xdr:rowOff>
    </xdr:from>
    <xdr:to>
      <xdr:col>27</xdr:col>
      <xdr:colOff>28575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14</xdr:row>
      <xdr:rowOff>14287</xdr:rowOff>
    </xdr:from>
    <xdr:to>
      <xdr:col>12</xdr:col>
      <xdr:colOff>180975</xdr:colOff>
      <xdr:row>42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z2-symbol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z2-compile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6" name="Table6" displayName="Table6" ref="A2:G3" totalsRowShown="0" dataDxfId="24">
  <autoFilter ref="A2:G3"/>
  <tableColumns count="7">
    <tableColumn id="1" name="clone" dataDxfId="23">
      <calculatedColumnFormula>('dual-i7-hd-j8'!A3-'dual-i7-ssd-j8'!A3)/'dual-i7-hd-j8'!A3</calculatedColumnFormula>
    </tableColumn>
    <tableColumn id="2" name="build" dataDxfId="22">
      <calculatedColumnFormula>('dual-i7-hd-j4'!B4-'dual-i7-ssd-j4'!B4)/'dual-i7-hd-j4'!B4</calculatedColumnFormula>
    </tableColumn>
    <tableColumn id="3" name="package" dataDxfId="21">
      <calculatedColumnFormula>('dual-i7-hd-j4'!C4-'dual-i7-ssd-j4'!C4)/'dual-i7-hd-j4'!C4</calculatedColumnFormula>
    </tableColumn>
    <tableColumn id="4" name="packagetests" dataDxfId="20">
      <calculatedColumnFormula>('dual-i7-hd-j4'!D4-'dual-i7-ssd-j4'!D4)/'dual-i7-hd-j4'!D4</calculatedColumnFormula>
    </tableColumn>
    <tableColumn id="5" name="symbols" dataDxfId="19">
      <calculatedColumnFormula>('dual-i7-hd-j4'!E4-'dual-i7-ssd-j4'!E4)/'dual-i7-hd-j4'!E4</calculatedColumnFormula>
    </tableColumn>
    <tableColumn id="6" name="clobber" dataDxfId="18">
      <calculatedColumnFormula>('dual-i7-hd-j4'!F4-'dual-i7-ssd-j4'!F4)/'dual-i7-hd-j4'!F4</calculatedColumnFormula>
    </tableColumn>
    <tableColumn id="7" name="total" dataDxfId="17">
      <calculatedColumnFormula>('dual-i7-hd-j4'!G4-'dual-i7-ssd-j4'!G4)/'dual-i7-hd-j4'!G4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A6:G15" totalsRowShown="0">
  <autoFilter ref="A6:G15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6:G10" totalsRowShown="0">
  <autoFilter ref="A6:G10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duali7hdj4" displayName="duali7hdj4" ref="A7:G152" totalsRowShown="0">
  <autoFilter ref="A7:G152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duali7hdj8" displayName="duali7hdj8" ref="A6:G23" totalsRowShown="0">
  <autoFilter ref="A6:G2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Table18" displayName="Table18" ref="A6:G14" totalsRowShown="0">
  <autoFilter ref="A6:G14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6:G9" totalsRowShown="0">
  <autoFilter ref="A6:G9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duali5hdj4" displayName="duali5hdj4" ref="A7:G130" totalsRowShown="0">
  <autoFilter ref="A7:G130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duali5hdj8" displayName="duali5hdj8" ref="A7:G13" totalsRowShown="0">
  <autoFilter ref="A7:G1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A6:G13" totalsRowShown="0">
  <autoFilter ref="A6:G1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A6:G16" totalsRowShown="0">
  <autoFilter ref="A6:G16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69" displayName="Table69" ref="A7:G8" totalsRowShown="0" dataDxfId="16">
  <autoFilter ref="A7:G8"/>
  <tableColumns count="7">
    <tableColumn id="1" name="clone" dataDxfId="15">
      <calculatedColumnFormula>'dual-i7-hd-j4'!A4-'dual-i7-ssd-j4'!A4</calculatedColumnFormula>
    </tableColumn>
    <tableColumn id="2" name="build" dataDxfId="14">
      <calculatedColumnFormula>'dual-i7-hd-j4'!B9-'dual-i7-ssd-j4'!B9</calculatedColumnFormula>
    </tableColumn>
    <tableColumn id="3" name="package" dataDxfId="13">
      <calculatedColumnFormula>'dual-i7-hd-j4'!C9-'dual-i7-ssd-j4'!C9</calculatedColumnFormula>
    </tableColumn>
    <tableColumn id="4" name="packagetests" dataDxfId="12">
      <calculatedColumnFormula>'dual-i7-hd-j4'!D9-'dual-i7-ssd-j4'!D9</calculatedColumnFormula>
    </tableColumn>
    <tableColumn id="5" name="symbols" dataDxfId="11">
      <calculatedColumnFormula>'dual-i7-hd-j4'!E9-'dual-i7-ssd-j4'!E9</calculatedColumnFormula>
    </tableColumn>
    <tableColumn id="6" name="clobber" dataDxfId="10">
      <calculatedColumnFormula>'dual-i7-hd-j4'!F9-'dual-i7-ssd-j4'!F9</calculatedColumnFormula>
    </tableColumn>
    <tableColumn id="7" name="total" dataDxfId="9">
      <calculatedColumnFormula>'dual-i7-hd-j4'!G9-'dual-i7-ssd-j4'!G9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e21" displayName="Table21" ref="A6:G84" totalsRowShown="0">
  <autoFilter ref="A6:G84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A6:G12" totalsRowShown="0">
  <autoFilter ref="A6:G12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e23" displayName="Table23" ref="A6:G16" totalsRowShown="0">
  <autoFilter ref="A6:G16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6:G11" totalsRowShown="0">
  <autoFilter ref="A6:G11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quadi7ssdj4" displayName="quadi7ssdj4" ref="A7:G175" totalsRowShown="0" headerRowDxfId="8" dataDxfId="7">
  <autoFilter ref="A7:G175"/>
  <tableColumns count="7">
    <tableColumn id="1" name="clone" dataDxfId="6"/>
    <tableColumn id="2" name="build" dataDxfId="5"/>
    <tableColumn id="3" name="package" dataDxfId="4"/>
    <tableColumn id="4" name="packagetests" dataDxfId="3"/>
    <tableColumn id="5" name="symbols" dataDxfId="2"/>
    <tableColumn id="6" name="clobber" dataDxfId="1"/>
    <tableColumn id="7" name="total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quadi7ssdj8" displayName="quadi7ssdj8" ref="A6:G27" totalsRowShown="0">
  <autoFilter ref="A6:G27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A6:G10" totalsRowShown="0">
  <autoFilter ref="A6:G10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6:G11" totalsRowShown="0">
  <autoFilter ref="A6:G11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duali7ssdj4" displayName="duali7ssdj4" ref="A7:G34" totalsRowShown="0">
  <autoFilter ref="A7:G34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duali7ssdj8" displayName="duali7ssdj8" ref="A6:G13" totalsRowShown="0">
  <autoFilter ref="A6:G1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4" workbookViewId="0">
      <selection activeCell="L12" sqref="L12"/>
    </sheetView>
  </sheetViews>
  <sheetFormatPr defaultRowHeight="15" x14ac:dyDescent="0.25"/>
  <cols>
    <col min="2" max="2" width="21.42578125" bestFit="1" customWidth="1"/>
    <col min="3" max="5" width="22.28515625" bestFit="1" customWidth="1"/>
    <col min="6" max="6" width="29.85546875" bestFit="1" customWidth="1"/>
  </cols>
  <sheetData>
    <row r="1" spans="1:6" x14ac:dyDescent="0.25">
      <c r="A1" t="s">
        <v>23</v>
      </c>
      <c r="B1" t="s">
        <v>24</v>
      </c>
      <c r="C1" t="s">
        <v>26</v>
      </c>
      <c r="D1" t="s">
        <v>25</v>
      </c>
      <c r="E1" t="s">
        <v>55</v>
      </c>
      <c r="F1" t="s">
        <v>39</v>
      </c>
    </row>
    <row r="2" spans="1:6" x14ac:dyDescent="0.25">
      <c r="A2">
        <v>1</v>
      </c>
    </row>
    <row r="3" spans="1:6" x14ac:dyDescent="0.25">
      <c r="A3">
        <v>2</v>
      </c>
      <c r="B3">
        <f>'quad-i7-ssd-j2'!B3</f>
        <v>3634.4</v>
      </c>
      <c r="C3">
        <f>'dual-i7-ssd-j2'!B3</f>
        <v>3606.2</v>
      </c>
      <c r="D3">
        <f>'dual-i7-hd-j2'!B3</f>
        <v>3753.25</v>
      </c>
      <c r="E3">
        <f>'dual-i5-hd-j2'!B3</f>
        <v>4552.666666666667</v>
      </c>
    </row>
    <row r="4" spans="1:6" x14ac:dyDescent="0.25">
      <c r="A4">
        <v>4</v>
      </c>
      <c r="B4">
        <f>'quad-i7-ssd-j4'!B4</f>
        <v>2599.9404761904761</v>
      </c>
      <c r="C4">
        <f>'dual-i7-ssd-j4'!B4</f>
        <v>2800.7777777777778</v>
      </c>
      <c r="D4">
        <f>'dual-i7-hd-j4'!B4</f>
        <v>2926.6827586206896</v>
      </c>
      <c r="E4">
        <f>'dual-i5-hd-j4'!B4</f>
        <v>3578.1463414634145</v>
      </c>
      <c r="F4">
        <f>'moz2-darwin10-data'!A22</f>
        <v>9154.9</v>
      </c>
    </row>
    <row r="5" spans="1:6" x14ac:dyDescent="0.25">
      <c r="A5">
        <v>8</v>
      </c>
      <c r="B5">
        <f>'quad-i7-ssd-j8'!B3</f>
        <v>2388.7142857142858</v>
      </c>
      <c r="C5">
        <f>'dual-i7-ssd-j8'!B3</f>
        <v>2842.5714285714284</v>
      </c>
      <c r="D5">
        <f>'dual-i7-hd-j8'!B3</f>
        <v>3008.294117647059</v>
      </c>
      <c r="E5">
        <f>'dual-i5-hd-j8'!B4</f>
        <v>3578.1463414634145</v>
      </c>
    </row>
    <row r="6" spans="1:6" x14ac:dyDescent="0.25">
      <c r="A6">
        <v>12</v>
      </c>
      <c r="B6">
        <f>'quad-i7-ssd-j12'!B3</f>
        <v>2371.1999999999998</v>
      </c>
      <c r="C6">
        <f>'dual-i7-ssd-j12'!B3</f>
        <v>2825.3333333333335</v>
      </c>
      <c r="D6">
        <f>'dual-i7-hd-j12'!B3</f>
        <v>3064.3333333333335</v>
      </c>
      <c r="E6">
        <f>'dual-i5-hd-j12'!B3</f>
        <v>3824.8</v>
      </c>
    </row>
    <row r="7" spans="1:6" x14ac:dyDescent="0.25">
      <c r="A7">
        <v>16</v>
      </c>
      <c r="B7">
        <f>'quad-i7-ssd-j16'!B3</f>
        <v>2385.25</v>
      </c>
      <c r="C7">
        <f>'dual-i7-ssd-j16'!B3</f>
        <v>2889.2222222222222</v>
      </c>
      <c r="D7">
        <f>'dual-i7-hd-j16'!B3</f>
        <v>3271.125</v>
      </c>
      <c r="E7">
        <f>'dual-i5-hd-j16'!B3</f>
        <v>3780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M14" sqref="M14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34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AVERAGE(Table16[clone])</f>
        <v>93.25</v>
      </c>
      <c r="B3" s="4">
        <f>AVERAGE(Table16[build])</f>
        <v>2385.25</v>
      </c>
      <c r="C3" s="4">
        <f>AVERAGE(Table16[package])</f>
        <v>22</v>
      </c>
      <c r="D3" s="4">
        <f>AVERAGE(Table16[packagetests])</f>
        <v>13.75</v>
      </c>
      <c r="E3" s="4">
        <f>AVERAGE(Table16[symbols])</f>
        <v>709.25</v>
      </c>
      <c r="F3" s="4">
        <f>AVERAGE(Table16[clobber])</f>
        <v>49.75</v>
      </c>
      <c r="G3" s="4">
        <f>AVERAGE(Table16[total])</f>
        <v>3273.25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STDEV(Table16[clone])</f>
        <v>4.1129875597510219</v>
      </c>
      <c r="B5" s="4">
        <f>STDEV(Table16[build])</f>
        <v>8.9582364335844584</v>
      </c>
      <c r="C5" s="4">
        <f>STDEV(Table16[package])</f>
        <v>0.81649658092772603</v>
      </c>
      <c r="D5" s="4">
        <f>STDEV(Table16[packagetests])</f>
        <v>0.9574271077563381</v>
      </c>
      <c r="E5" s="4">
        <f>STDEV(Table16[symbols])</f>
        <v>4.924428900898052</v>
      </c>
      <c r="F5" s="4">
        <f>STDEV(Table16[clobber])</f>
        <v>0.5</v>
      </c>
      <c r="G5" s="4">
        <f>STDEV(Table16[total])</f>
        <v>10.07885575516057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88</v>
      </c>
      <c r="B7">
        <v>2385</v>
      </c>
      <c r="C7">
        <v>21</v>
      </c>
      <c r="D7">
        <v>15</v>
      </c>
      <c r="E7">
        <v>714</v>
      </c>
      <c r="F7">
        <v>50</v>
      </c>
      <c r="G7">
        <v>3273</v>
      </c>
    </row>
    <row r="8" spans="1:7" x14ac:dyDescent="0.25">
      <c r="A8">
        <v>94</v>
      </c>
      <c r="B8">
        <v>2379</v>
      </c>
      <c r="C8">
        <v>22</v>
      </c>
      <c r="D8">
        <v>13</v>
      </c>
      <c r="E8">
        <v>713</v>
      </c>
      <c r="F8">
        <v>49</v>
      </c>
      <c r="G8">
        <v>3270</v>
      </c>
    </row>
    <row r="9" spans="1:7" x14ac:dyDescent="0.25">
      <c r="A9">
        <v>93</v>
      </c>
      <c r="B9">
        <v>2379</v>
      </c>
      <c r="C9">
        <v>23</v>
      </c>
      <c r="D9">
        <v>13</v>
      </c>
      <c r="E9">
        <v>705</v>
      </c>
      <c r="F9">
        <v>50</v>
      </c>
      <c r="G9">
        <v>3263</v>
      </c>
    </row>
    <row r="10" spans="1:7" x14ac:dyDescent="0.25">
      <c r="A10">
        <v>98</v>
      </c>
      <c r="B10">
        <v>2398</v>
      </c>
      <c r="C10">
        <v>22</v>
      </c>
      <c r="D10">
        <v>14</v>
      </c>
      <c r="E10">
        <v>705</v>
      </c>
      <c r="F10">
        <v>50</v>
      </c>
      <c r="G10">
        <v>3287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1" sqref="J11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28</v>
      </c>
      <c r="B1" s="11"/>
      <c r="C1" s="11"/>
      <c r="D1" s="11"/>
      <c r="E1" s="11"/>
      <c r="F1" s="11"/>
      <c r="G1" s="11"/>
    </row>
    <row r="3" spans="1:7" x14ac:dyDescent="0.25">
      <c r="A3">
        <f>AVERAGE(Table13[clone])</f>
        <v>86.2</v>
      </c>
      <c r="B3">
        <f>AVERAGE(Table13[build])</f>
        <v>3606.2</v>
      </c>
      <c r="C3">
        <f>AVERAGE(Table13[package])</f>
        <v>23.6</v>
      </c>
      <c r="D3">
        <f>AVERAGE(Table13[packagetests])</f>
        <v>11.8</v>
      </c>
      <c r="E3">
        <f>AVERAGE(Table13[symbols])</f>
        <v>605</v>
      </c>
      <c r="F3">
        <f>AVERAGE(Table13[clobber])</f>
        <v>43.2</v>
      </c>
      <c r="G3">
        <f>AVERAGE(Table13[total])</f>
        <v>4376</v>
      </c>
    </row>
    <row r="5" spans="1:7" x14ac:dyDescent="0.25">
      <c r="A5">
        <f>STDEV(Table13[clone])</f>
        <v>5.4037024344425184</v>
      </c>
      <c r="B5">
        <f>STDEV(Table13[build])</f>
        <v>7.0851958335673411</v>
      </c>
      <c r="C5">
        <f>STDEV(Table13[package])</f>
        <v>0.54772255750516607</v>
      </c>
      <c r="D5">
        <f>STDEV(Table13[packagetests])</f>
        <v>0.83666002653407556</v>
      </c>
      <c r="E5">
        <f>STDEV(Table13[symbols])</f>
        <v>1.5811388300841898</v>
      </c>
      <c r="F5">
        <f>STDEV(Table13[clobber])</f>
        <v>0.44721359549995793</v>
      </c>
      <c r="G5">
        <f>STDEV(Table13[total])</f>
        <v>4.636809247747852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81</v>
      </c>
      <c r="B7">
        <v>3612</v>
      </c>
      <c r="C7">
        <v>24</v>
      </c>
      <c r="D7">
        <v>11</v>
      </c>
      <c r="E7">
        <v>603</v>
      </c>
      <c r="F7">
        <v>44</v>
      </c>
      <c r="G7">
        <v>4375</v>
      </c>
    </row>
    <row r="8" spans="1:7" x14ac:dyDescent="0.25">
      <c r="A8">
        <v>83</v>
      </c>
      <c r="B8">
        <v>3610</v>
      </c>
      <c r="C8">
        <v>23</v>
      </c>
      <c r="D8">
        <v>11</v>
      </c>
      <c r="E8">
        <v>606</v>
      </c>
      <c r="F8">
        <v>43</v>
      </c>
      <c r="G8">
        <v>4376</v>
      </c>
    </row>
    <row r="9" spans="1:7" x14ac:dyDescent="0.25">
      <c r="A9">
        <v>91</v>
      </c>
      <c r="B9">
        <v>3594</v>
      </c>
      <c r="C9">
        <v>24</v>
      </c>
      <c r="D9">
        <v>13</v>
      </c>
      <c r="E9">
        <v>605</v>
      </c>
      <c r="F9">
        <v>43</v>
      </c>
      <c r="G9">
        <v>4370</v>
      </c>
    </row>
    <row r="10" spans="1:7" x14ac:dyDescent="0.25">
      <c r="A10">
        <v>93</v>
      </c>
      <c r="B10">
        <v>3608</v>
      </c>
      <c r="C10">
        <v>23</v>
      </c>
      <c r="D10">
        <v>12</v>
      </c>
      <c r="E10">
        <v>604</v>
      </c>
      <c r="F10">
        <v>43</v>
      </c>
      <c r="G10">
        <v>4383</v>
      </c>
    </row>
    <row r="11" spans="1:7" x14ac:dyDescent="0.25">
      <c r="A11">
        <v>83</v>
      </c>
      <c r="B11">
        <v>3607</v>
      </c>
      <c r="C11">
        <v>24</v>
      </c>
      <c r="D11">
        <v>12</v>
      </c>
      <c r="E11">
        <v>607</v>
      </c>
      <c r="F11">
        <v>43</v>
      </c>
      <c r="G11">
        <v>4376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28" sqref="J28"/>
    </sheetView>
  </sheetViews>
  <sheetFormatPr defaultRowHeight="15" x14ac:dyDescent="0.25"/>
  <cols>
    <col min="1" max="3" width="12" bestFit="1" customWidth="1"/>
    <col min="4" max="4" width="14.7109375" bestFit="1" customWidth="1"/>
    <col min="5" max="7" width="12" bestFit="1" customWidth="1"/>
  </cols>
  <sheetData>
    <row r="1" spans="1:7" x14ac:dyDescent="0.25">
      <c r="A1" s="11" t="s">
        <v>11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2" t="str">
        <f>duali7ssdj4[[#Headers],[clone]]</f>
        <v>clone</v>
      </c>
      <c r="B3" s="2" t="str">
        <f>duali7ssdj4[[#Headers],[build]]</f>
        <v>build</v>
      </c>
      <c r="C3" s="2" t="str">
        <f>duali7ssdj4[[#Headers],[package]]</f>
        <v>package</v>
      </c>
      <c r="D3" s="2" t="str">
        <f>duali7ssdj4[[#Headers],[packagetests]]</f>
        <v>packagetests</v>
      </c>
      <c r="E3" s="2" t="str">
        <f>duali7ssdj4[[#Headers],[symbols]]</f>
        <v>symbols</v>
      </c>
      <c r="F3" s="2" t="str">
        <f>duali7ssdj4[[#Headers],[clobber]]</f>
        <v>clobber</v>
      </c>
      <c r="G3" s="2" t="str">
        <f>duali7ssdj4[[#Headers],[total]]</f>
        <v>total</v>
      </c>
    </row>
    <row r="4" spans="1:7" x14ac:dyDescent="0.25">
      <c r="A4">
        <f>AVERAGE(duali7ssdj4[clone])</f>
        <v>88.703703703703709</v>
      </c>
      <c r="B4">
        <f>AVERAGE(duali7ssdj4[build])</f>
        <v>2800.7777777777778</v>
      </c>
      <c r="C4">
        <f>AVERAGE(duali7ssdj4[package])</f>
        <v>23.481481481481481</v>
      </c>
      <c r="D4">
        <f>AVERAGE(duali7ssdj4[packagetests])</f>
        <v>10.851851851851851</v>
      </c>
      <c r="E4">
        <f>AVERAGE(duali7ssdj4[symbols])</f>
        <v>600.40740740740739</v>
      </c>
      <c r="F4">
        <f>AVERAGE(duali7ssdj4[clobber])</f>
        <v>43.111111111111114</v>
      </c>
      <c r="G4">
        <f>AVERAGE(duali7ssdj4[total])</f>
        <v>3567.3333333333335</v>
      </c>
    </row>
    <row r="5" spans="1:7" x14ac:dyDescent="0.25">
      <c r="A5" s="12" t="s">
        <v>9</v>
      </c>
      <c r="B5" s="12"/>
      <c r="C5" s="12"/>
      <c r="D5" s="12"/>
      <c r="E5" s="12"/>
      <c r="F5" s="12"/>
      <c r="G5" s="12"/>
    </row>
    <row r="6" spans="1:7" x14ac:dyDescent="0.25">
      <c r="A6">
        <f>STDEV(duali7ssdj4[clone])</f>
        <v>2.4932958541906367</v>
      </c>
      <c r="B6">
        <f>STDEV(duali7ssdj4[build])</f>
        <v>23.464102424002984</v>
      </c>
      <c r="C6">
        <f>STDEV(duali7ssdj4[package])</f>
        <v>0.642732769590452</v>
      </c>
      <c r="D6">
        <f>STDEV(duali7ssdj4[packagetests])</f>
        <v>0.71810132688187889</v>
      </c>
      <c r="E6">
        <f>STDEV(duali7ssdj4[symbols])</f>
        <v>2.5307229015754378</v>
      </c>
      <c r="F6">
        <f>STDEV(duali7ssdj4[clobber])</f>
        <v>0.32025630761017404</v>
      </c>
      <c r="G6">
        <f>STDEV(duali7ssdj4[total])</f>
        <v>23.823065746004676</v>
      </c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>
        <v>77</v>
      </c>
      <c r="B8">
        <v>2814</v>
      </c>
      <c r="C8">
        <v>23</v>
      </c>
      <c r="D8">
        <v>12</v>
      </c>
      <c r="E8">
        <v>595</v>
      </c>
      <c r="F8">
        <v>43</v>
      </c>
      <c r="G8">
        <v>3564</v>
      </c>
    </row>
    <row r="9" spans="1:7" x14ac:dyDescent="0.25">
      <c r="A9">
        <v>87</v>
      </c>
      <c r="B9">
        <v>2838</v>
      </c>
      <c r="C9">
        <v>23</v>
      </c>
      <c r="D9">
        <v>11</v>
      </c>
      <c r="E9">
        <v>598</v>
      </c>
      <c r="F9">
        <v>43</v>
      </c>
      <c r="G9">
        <v>3600</v>
      </c>
    </row>
    <row r="10" spans="1:7" x14ac:dyDescent="0.25">
      <c r="A10">
        <v>90</v>
      </c>
      <c r="B10">
        <v>2822</v>
      </c>
      <c r="C10">
        <v>23</v>
      </c>
      <c r="D10">
        <v>11</v>
      </c>
      <c r="E10">
        <v>600</v>
      </c>
      <c r="F10">
        <v>43</v>
      </c>
      <c r="G10">
        <v>3589</v>
      </c>
    </row>
    <row r="11" spans="1:7" x14ac:dyDescent="0.25">
      <c r="A11">
        <v>89</v>
      </c>
      <c r="B11">
        <v>2831</v>
      </c>
      <c r="C11">
        <v>23</v>
      </c>
      <c r="D11">
        <v>10</v>
      </c>
      <c r="E11">
        <v>602</v>
      </c>
      <c r="F11">
        <v>43</v>
      </c>
      <c r="G11">
        <v>3598</v>
      </c>
    </row>
    <row r="12" spans="1:7" x14ac:dyDescent="0.25">
      <c r="A12">
        <v>90</v>
      </c>
      <c r="B12">
        <v>2842</v>
      </c>
      <c r="C12">
        <v>24</v>
      </c>
      <c r="D12">
        <v>11</v>
      </c>
      <c r="E12">
        <v>600</v>
      </c>
      <c r="F12">
        <v>43</v>
      </c>
      <c r="G12">
        <v>3610</v>
      </c>
    </row>
    <row r="13" spans="1:7" x14ac:dyDescent="0.25">
      <c r="A13">
        <v>90</v>
      </c>
      <c r="B13">
        <v>2844</v>
      </c>
      <c r="C13">
        <v>24</v>
      </c>
      <c r="D13">
        <v>11</v>
      </c>
      <c r="E13">
        <v>601</v>
      </c>
      <c r="F13">
        <v>44</v>
      </c>
      <c r="G13">
        <v>3614</v>
      </c>
    </row>
    <row r="14" spans="1:7" x14ac:dyDescent="0.25">
      <c r="A14">
        <v>89</v>
      </c>
      <c r="B14">
        <v>2841</v>
      </c>
      <c r="C14">
        <v>24</v>
      </c>
      <c r="D14">
        <v>12</v>
      </c>
      <c r="E14">
        <v>602</v>
      </c>
      <c r="F14">
        <v>44</v>
      </c>
      <c r="G14">
        <v>3612</v>
      </c>
    </row>
    <row r="15" spans="1:7" x14ac:dyDescent="0.25">
      <c r="A15">
        <v>88</v>
      </c>
      <c r="B15">
        <v>2846</v>
      </c>
      <c r="C15">
        <v>23</v>
      </c>
      <c r="D15">
        <v>12</v>
      </c>
      <c r="E15">
        <v>603</v>
      </c>
      <c r="F15">
        <v>43</v>
      </c>
      <c r="G15">
        <v>3615</v>
      </c>
    </row>
    <row r="16" spans="1:7" x14ac:dyDescent="0.25">
      <c r="A16">
        <v>88</v>
      </c>
      <c r="B16">
        <v>2799</v>
      </c>
      <c r="C16">
        <v>24</v>
      </c>
      <c r="D16">
        <v>10</v>
      </c>
      <c r="E16">
        <v>600</v>
      </c>
      <c r="F16">
        <v>43</v>
      </c>
      <c r="G16">
        <v>3564</v>
      </c>
    </row>
    <row r="17" spans="1:7" x14ac:dyDescent="0.25">
      <c r="A17">
        <v>88</v>
      </c>
      <c r="B17">
        <v>2781</v>
      </c>
      <c r="C17">
        <v>25</v>
      </c>
      <c r="D17">
        <v>11</v>
      </c>
      <c r="E17">
        <v>603</v>
      </c>
      <c r="F17">
        <v>44</v>
      </c>
      <c r="G17">
        <v>3552</v>
      </c>
    </row>
    <row r="18" spans="1:7" x14ac:dyDescent="0.25">
      <c r="A18">
        <v>89</v>
      </c>
      <c r="B18">
        <v>2783</v>
      </c>
      <c r="C18">
        <v>23</v>
      </c>
      <c r="D18">
        <v>10</v>
      </c>
      <c r="E18">
        <v>599</v>
      </c>
      <c r="F18">
        <v>43</v>
      </c>
      <c r="G18">
        <v>3547</v>
      </c>
    </row>
    <row r="19" spans="1:7" x14ac:dyDescent="0.25">
      <c r="A19">
        <v>90</v>
      </c>
      <c r="B19">
        <v>2790</v>
      </c>
      <c r="C19">
        <v>23</v>
      </c>
      <c r="D19">
        <v>12</v>
      </c>
      <c r="E19">
        <v>596</v>
      </c>
      <c r="F19">
        <v>43</v>
      </c>
      <c r="G19">
        <v>3554</v>
      </c>
    </row>
    <row r="20" spans="1:7" x14ac:dyDescent="0.25">
      <c r="A20">
        <v>89</v>
      </c>
      <c r="B20">
        <v>2788</v>
      </c>
      <c r="C20">
        <v>23</v>
      </c>
      <c r="D20">
        <v>10</v>
      </c>
      <c r="E20">
        <v>604</v>
      </c>
      <c r="F20">
        <v>43</v>
      </c>
      <c r="G20">
        <v>3557</v>
      </c>
    </row>
    <row r="21" spans="1:7" x14ac:dyDescent="0.25">
      <c r="A21">
        <v>88</v>
      </c>
      <c r="B21">
        <v>2781</v>
      </c>
      <c r="C21">
        <v>23</v>
      </c>
      <c r="D21">
        <v>11</v>
      </c>
      <c r="E21">
        <v>599</v>
      </c>
      <c r="F21">
        <v>43</v>
      </c>
      <c r="G21">
        <v>3545</v>
      </c>
    </row>
    <row r="22" spans="1:7" x14ac:dyDescent="0.25">
      <c r="A22">
        <v>90</v>
      </c>
      <c r="B22">
        <v>2784</v>
      </c>
      <c r="C22">
        <v>24</v>
      </c>
      <c r="D22">
        <v>10</v>
      </c>
      <c r="E22">
        <v>603</v>
      </c>
      <c r="F22">
        <v>43</v>
      </c>
      <c r="G22">
        <v>3554</v>
      </c>
    </row>
    <row r="23" spans="1:7" x14ac:dyDescent="0.25">
      <c r="A23">
        <v>88</v>
      </c>
      <c r="B23">
        <v>2788</v>
      </c>
      <c r="C23">
        <v>23</v>
      </c>
      <c r="D23">
        <v>11</v>
      </c>
      <c r="E23">
        <v>599</v>
      </c>
      <c r="F23">
        <v>43</v>
      </c>
      <c r="G23">
        <v>3552</v>
      </c>
    </row>
    <row r="24" spans="1:7" x14ac:dyDescent="0.25">
      <c r="A24">
        <v>89</v>
      </c>
      <c r="B24">
        <v>2784</v>
      </c>
      <c r="C24">
        <v>23</v>
      </c>
      <c r="D24">
        <v>11</v>
      </c>
      <c r="E24">
        <v>599</v>
      </c>
      <c r="F24">
        <v>43</v>
      </c>
      <c r="G24">
        <v>3549</v>
      </c>
    </row>
    <row r="25" spans="1:7" x14ac:dyDescent="0.25">
      <c r="A25">
        <v>89</v>
      </c>
      <c r="B25">
        <v>2785</v>
      </c>
      <c r="C25">
        <v>24</v>
      </c>
      <c r="D25">
        <v>11</v>
      </c>
      <c r="E25">
        <v>597</v>
      </c>
      <c r="F25">
        <v>43</v>
      </c>
      <c r="G25">
        <v>3549</v>
      </c>
    </row>
    <row r="26" spans="1:7" x14ac:dyDescent="0.25">
      <c r="A26">
        <v>89</v>
      </c>
      <c r="B26">
        <v>2785</v>
      </c>
      <c r="C26">
        <v>24</v>
      </c>
      <c r="D26">
        <v>11</v>
      </c>
      <c r="E26">
        <v>601</v>
      </c>
      <c r="F26">
        <v>43</v>
      </c>
      <c r="G26">
        <v>3553</v>
      </c>
    </row>
    <row r="27" spans="1:7" x14ac:dyDescent="0.25">
      <c r="A27">
        <v>90</v>
      </c>
      <c r="B27">
        <v>2786</v>
      </c>
      <c r="C27">
        <v>24</v>
      </c>
      <c r="D27">
        <v>10</v>
      </c>
      <c r="E27">
        <v>600</v>
      </c>
      <c r="F27">
        <v>43</v>
      </c>
      <c r="G27">
        <v>3553</v>
      </c>
    </row>
    <row r="28" spans="1:7" x14ac:dyDescent="0.25">
      <c r="A28">
        <v>89</v>
      </c>
      <c r="B28">
        <v>2786</v>
      </c>
      <c r="C28">
        <v>23</v>
      </c>
      <c r="D28">
        <v>12</v>
      </c>
      <c r="E28">
        <v>601</v>
      </c>
      <c r="F28">
        <v>43</v>
      </c>
      <c r="G28">
        <v>3554</v>
      </c>
    </row>
    <row r="29" spans="1:7" x14ac:dyDescent="0.25">
      <c r="A29">
        <v>90</v>
      </c>
      <c r="B29">
        <v>2789</v>
      </c>
      <c r="C29">
        <v>22</v>
      </c>
      <c r="D29">
        <v>11</v>
      </c>
      <c r="E29">
        <v>599</v>
      </c>
      <c r="F29">
        <v>43</v>
      </c>
      <c r="G29">
        <v>3554</v>
      </c>
    </row>
    <row r="30" spans="1:7" x14ac:dyDescent="0.25">
      <c r="A30">
        <v>89</v>
      </c>
      <c r="B30">
        <v>2788</v>
      </c>
      <c r="C30">
        <v>24</v>
      </c>
      <c r="D30">
        <v>10</v>
      </c>
      <c r="E30">
        <v>602</v>
      </c>
      <c r="F30">
        <v>43</v>
      </c>
      <c r="G30">
        <v>3556</v>
      </c>
    </row>
    <row r="31" spans="1:7" x14ac:dyDescent="0.25">
      <c r="A31">
        <v>90</v>
      </c>
      <c r="B31">
        <v>2786</v>
      </c>
      <c r="C31">
        <v>24</v>
      </c>
      <c r="D31">
        <v>11</v>
      </c>
      <c r="E31">
        <v>598</v>
      </c>
      <c r="F31">
        <v>43</v>
      </c>
      <c r="G31">
        <v>3552</v>
      </c>
    </row>
    <row r="32" spans="1:7" x14ac:dyDescent="0.25">
      <c r="A32">
        <v>90</v>
      </c>
      <c r="B32">
        <v>2787</v>
      </c>
      <c r="C32">
        <v>23</v>
      </c>
      <c r="D32">
        <v>11</v>
      </c>
      <c r="E32">
        <v>605</v>
      </c>
      <c r="F32">
        <v>43</v>
      </c>
      <c r="G32">
        <v>3559</v>
      </c>
    </row>
    <row r="33" spans="1:7" x14ac:dyDescent="0.25">
      <c r="A33">
        <v>90</v>
      </c>
      <c r="B33">
        <v>2787</v>
      </c>
      <c r="C33">
        <v>24</v>
      </c>
      <c r="D33">
        <v>10</v>
      </c>
      <c r="E33">
        <v>605</v>
      </c>
      <c r="F33">
        <v>43</v>
      </c>
      <c r="G33">
        <v>3559</v>
      </c>
    </row>
    <row r="34" spans="1:7" x14ac:dyDescent="0.25">
      <c r="A34">
        <v>90</v>
      </c>
      <c r="B34">
        <v>2786</v>
      </c>
      <c r="C34">
        <v>24</v>
      </c>
      <c r="D34">
        <v>10</v>
      </c>
      <c r="E34">
        <v>600</v>
      </c>
      <c r="F34">
        <v>43</v>
      </c>
      <c r="G34">
        <v>3553</v>
      </c>
    </row>
  </sheetData>
  <mergeCells count="3">
    <mergeCell ref="A2:G2"/>
    <mergeCell ref="A5:G5"/>
    <mergeCell ref="A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23" sqref="I23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17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>
        <f>AVERAGE(duali7ssdj8[clone])</f>
        <v>89.142857142857139</v>
      </c>
      <c r="B3">
        <f>AVERAGE(duali7ssdj8[build])</f>
        <v>2842.5714285714284</v>
      </c>
      <c r="C3">
        <f>AVERAGE(duali7ssdj8[package])</f>
        <v>23.142857142857142</v>
      </c>
      <c r="D3">
        <f>AVERAGE(duali7ssdj8[packagetests])</f>
        <v>11</v>
      </c>
      <c r="E3">
        <f>AVERAGE(duali7ssdj8[symbols])</f>
        <v>602.14285714285711</v>
      </c>
      <c r="F3">
        <f>AVERAGE(duali7ssdj8[clobber])</f>
        <v>43.714285714285715</v>
      </c>
      <c r="G3">
        <f>AVERAGE(duali7ssdj8[total])</f>
        <v>3611.7142857142858</v>
      </c>
    </row>
    <row r="4" spans="1:7" x14ac:dyDescent="0.25">
      <c r="A4" s="12" t="s">
        <v>0</v>
      </c>
      <c r="B4" s="12"/>
      <c r="C4" s="12"/>
      <c r="D4" s="12"/>
      <c r="E4" s="12"/>
      <c r="F4" s="12"/>
      <c r="G4" s="12"/>
    </row>
    <row r="5" spans="1:7" x14ac:dyDescent="0.25">
      <c r="A5">
        <f>STDEV(duali7ssdj8[clone])</f>
        <v>2.2677868380553634</v>
      </c>
      <c r="B5">
        <f>STDEV(duali7ssdj8[build])</f>
        <v>18.707014217998044</v>
      </c>
      <c r="C5">
        <f>STDEV(duali7ssdj8[package])</f>
        <v>0.69006555934235414</v>
      </c>
      <c r="D5">
        <f>STDEV(duali7ssdj8[packagetests])</f>
        <v>0</v>
      </c>
      <c r="E5">
        <f>STDEV(duali7ssdj8[symbols])</f>
        <v>3.5321651258386093</v>
      </c>
      <c r="F5">
        <f>STDEV(duali7ssdj8[clobber])</f>
        <v>0.4879500364742666</v>
      </c>
      <c r="G5">
        <f>STDEV(duali7ssdj8[total])</f>
        <v>18.794629425399567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84</v>
      </c>
      <c r="B7">
        <v>2873</v>
      </c>
      <c r="C7">
        <v>23</v>
      </c>
      <c r="D7">
        <v>11</v>
      </c>
      <c r="E7">
        <v>604</v>
      </c>
      <c r="F7">
        <v>44</v>
      </c>
      <c r="G7">
        <v>3639</v>
      </c>
    </row>
    <row r="8" spans="1:7" x14ac:dyDescent="0.25">
      <c r="A8">
        <v>90</v>
      </c>
      <c r="B8">
        <v>2811</v>
      </c>
      <c r="C8">
        <v>22</v>
      </c>
      <c r="D8">
        <v>11</v>
      </c>
      <c r="E8">
        <v>601</v>
      </c>
      <c r="F8">
        <v>44</v>
      </c>
      <c r="G8">
        <v>3579</v>
      </c>
    </row>
    <row r="9" spans="1:7" x14ac:dyDescent="0.25">
      <c r="A9">
        <v>90</v>
      </c>
      <c r="B9">
        <v>2846</v>
      </c>
      <c r="C9">
        <v>23</v>
      </c>
      <c r="D9">
        <v>11</v>
      </c>
      <c r="E9">
        <v>609</v>
      </c>
      <c r="F9">
        <v>43</v>
      </c>
      <c r="G9">
        <v>3622</v>
      </c>
    </row>
    <row r="10" spans="1:7" x14ac:dyDescent="0.25">
      <c r="A10">
        <v>90</v>
      </c>
      <c r="B10">
        <v>2835</v>
      </c>
      <c r="C10">
        <v>23</v>
      </c>
      <c r="D10">
        <v>11</v>
      </c>
      <c r="E10">
        <v>598</v>
      </c>
      <c r="F10">
        <v>44</v>
      </c>
      <c r="G10">
        <v>3601</v>
      </c>
    </row>
    <row r="11" spans="1:7" x14ac:dyDescent="0.25">
      <c r="A11">
        <v>90</v>
      </c>
      <c r="B11">
        <v>2837</v>
      </c>
      <c r="C11">
        <v>24</v>
      </c>
      <c r="D11">
        <v>11</v>
      </c>
      <c r="E11">
        <v>602</v>
      </c>
      <c r="F11">
        <v>44</v>
      </c>
      <c r="G11">
        <v>3608</v>
      </c>
    </row>
    <row r="12" spans="1:7" x14ac:dyDescent="0.25">
      <c r="A12">
        <v>90</v>
      </c>
      <c r="B12">
        <v>2845</v>
      </c>
      <c r="C12">
        <v>23</v>
      </c>
      <c r="D12">
        <v>11</v>
      </c>
      <c r="E12">
        <v>601</v>
      </c>
      <c r="F12">
        <v>43</v>
      </c>
      <c r="G12">
        <v>3613</v>
      </c>
    </row>
    <row r="13" spans="1:7" x14ac:dyDescent="0.25">
      <c r="A13">
        <v>90</v>
      </c>
      <c r="B13">
        <v>2851</v>
      </c>
      <c r="C13">
        <v>24</v>
      </c>
      <c r="D13">
        <v>11</v>
      </c>
      <c r="E13">
        <v>600</v>
      </c>
      <c r="F13">
        <v>44</v>
      </c>
      <c r="G13">
        <v>3620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G2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AVERAGE(Table17[clone])</f>
        <v>90</v>
      </c>
      <c r="B3" s="4">
        <f>AVERAGE(Table17[build])</f>
        <v>2889.2222222222222</v>
      </c>
      <c r="C3" s="4">
        <f>AVERAGE(Table17[package])</f>
        <v>22.888888888888889</v>
      </c>
      <c r="D3" s="4">
        <f>AVERAGE(Table17[packagetests])</f>
        <v>11.333333333333334</v>
      </c>
      <c r="E3" s="4">
        <f>AVERAGE(Table17[symbols])</f>
        <v>616.88888888888891</v>
      </c>
      <c r="F3" s="4">
        <f>AVERAGE(Table17[clobber])</f>
        <v>44.222222222222221</v>
      </c>
      <c r="G3" s="4">
        <f>AVERAGE(Table17[total])</f>
        <v>3674.5555555555557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STDEV(Table17[clone])</f>
        <v>2.7838821814150108</v>
      </c>
      <c r="B5" s="4">
        <f>STDEV(Table17[build])</f>
        <v>18.932629094883904</v>
      </c>
      <c r="C5" s="4">
        <f>STDEV(Table17[package])</f>
        <v>0.60092521257733145</v>
      </c>
      <c r="D5" s="4">
        <f>STDEV(Table17[packagetests])</f>
        <v>0.70710678118654757</v>
      </c>
      <c r="E5" s="4">
        <f>STDEV(Table17[symbols])</f>
        <v>1.763834207376394</v>
      </c>
      <c r="F5" s="4">
        <f>STDEV(Table17[clobber])</f>
        <v>0.44095855184409838</v>
      </c>
      <c r="G5" s="4">
        <f>STDEV(Table17[total])</f>
        <v>17.030201930035293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89</v>
      </c>
      <c r="B7">
        <v>2902</v>
      </c>
      <c r="C7">
        <v>23</v>
      </c>
      <c r="D7">
        <v>11</v>
      </c>
      <c r="E7">
        <v>616</v>
      </c>
      <c r="F7">
        <v>45</v>
      </c>
      <c r="G7">
        <v>3686</v>
      </c>
    </row>
    <row r="8" spans="1:7" x14ac:dyDescent="0.25">
      <c r="A8">
        <v>83</v>
      </c>
      <c r="B8">
        <v>2923</v>
      </c>
      <c r="C8">
        <v>22</v>
      </c>
      <c r="D8">
        <v>12</v>
      </c>
      <c r="E8">
        <v>619</v>
      </c>
      <c r="F8">
        <v>44</v>
      </c>
      <c r="G8">
        <v>3703</v>
      </c>
    </row>
    <row r="9" spans="1:7" x14ac:dyDescent="0.25">
      <c r="A9">
        <v>92</v>
      </c>
      <c r="B9">
        <v>2879</v>
      </c>
      <c r="C9">
        <v>23</v>
      </c>
      <c r="D9">
        <v>12</v>
      </c>
      <c r="E9">
        <v>618</v>
      </c>
      <c r="F9">
        <v>44</v>
      </c>
      <c r="G9">
        <v>3668</v>
      </c>
    </row>
    <row r="10" spans="1:7" x14ac:dyDescent="0.25">
      <c r="A10">
        <v>91</v>
      </c>
      <c r="B10">
        <v>2897</v>
      </c>
      <c r="C10">
        <v>22</v>
      </c>
      <c r="D10">
        <v>11</v>
      </c>
      <c r="E10">
        <v>615</v>
      </c>
      <c r="F10">
        <v>44</v>
      </c>
      <c r="G10">
        <v>3680</v>
      </c>
    </row>
    <row r="11" spans="1:7" x14ac:dyDescent="0.25">
      <c r="A11">
        <v>90</v>
      </c>
      <c r="B11">
        <v>2884</v>
      </c>
      <c r="C11">
        <v>23</v>
      </c>
      <c r="D11">
        <v>12</v>
      </c>
      <c r="E11">
        <v>617</v>
      </c>
      <c r="F11">
        <v>44</v>
      </c>
      <c r="G11">
        <v>3670</v>
      </c>
    </row>
    <row r="12" spans="1:7" x14ac:dyDescent="0.25">
      <c r="A12">
        <v>91</v>
      </c>
      <c r="B12">
        <v>2880</v>
      </c>
      <c r="C12">
        <v>23</v>
      </c>
      <c r="D12">
        <v>10</v>
      </c>
      <c r="E12">
        <v>620</v>
      </c>
      <c r="F12">
        <v>44</v>
      </c>
      <c r="G12">
        <v>3668</v>
      </c>
    </row>
    <row r="13" spans="1:7" x14ac:dyDescent="0.25">
      <c r="A13">
        <v>91</v>
      </c>
      <c r="B13">
        <v>2905</v>
      </c>
      <c r="C13">
        <v>23</v>
      </c>
      <c r="D13">
        <v>12</v>
      </c>
      <c r="E13">
        <v>615</v>
      </c>
      <c r="F13">
        <v>45</v>
      </c>
      <c r="G13">
        <v>3691</v>
      </c>
    </row>
    <row r="14" spans="1:7" x14ac:dyDescent="0.25">
      <c r="A14">
        <v>91</v>
      </c>
      <c r="B14">
        <v>2868</v>
      </c>
      <c r="C14">
        <v>23</v>
      </c>
      <c r="D14">
        <v>11</v>
      </c>
      <c r="E14">
        <v>616</v>
      </c>
      <c r="F14">
        <v>44</v>
      </c>
      <c r="G14">
        <v>3653</v>
      </c>
    </row>
    <row r="15" spans="1:7" x14ac:dyDescent="0.25">
      <c r="A15">
        <v>92</v>
      </c>
      <c r="B15">
        <v>2865</v>
      </c>
      <c r="C15">
        <v>24</v>
      </c>
      <c r="D15">
        <v>11</v>
      </c>
      <c r="E15">
        <v>616</v>
      </c>
      <c r="F15">
        <v>44</v>
      </c>
      <c r="G15">
        <v>3652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1" sqref="N21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30</v>
      </c>
      <c r="B1" s="11"/>
      <c r="C1" s="11"/>
      <c r="D1" s="11"/>
      <c r="E1" s="11"/>
      <c r="F1" s="11"/>
      <c r="G1" s="11"/>
    </row>
    <row r="3" spans="1:7" x14ac:dyDescent="0.25">
      <c r="A3">
        <f>AVERAGE(Table14[clone])</f>
        <v>201.75</v>
      </c>
      <c r="B3">
        <f>AVERAGE(Table14[build])</f>
        <v>3753.25</v>
      </c>
      <c r="C3">
        <f>AVERAGE(Table14[package])</f>
        <v>30.25</v>
      </c>
      <c r="D3">
        <f>AVERAGE(Table14[packagetests])</f>
        <v>15.25</v>
      </c>
      <c r="E3">
        <f>AVERAGE(Table14[symbols])</f>
        <v>674.25</v>
      </c>
      <c r="F3">
        <f>AVERAGE(Table14[clobber])</f>
        <v>220.25</v>
      </c>
      <c r="G3">
        <f>AVERAGE(Table14[total])</f>
        <v>4895</v>
      </c>
    </row>
    <row r="5" spans="1:7" x14ac:dyDescent="0.25">
      <c r="A5">
        <f>STDEV(Table14[clone])</f>
        <v>12.473304828045105</v>
      </c>
      <c r="B5">
        <f>STDEV(Table14[build])</f>
        <v>18.373440976946405</v>
      </c>
      <c r="C5">
        <f>STDEV(Table14[package])</f>
        <v>2.2173557826083452</v>
      </c>
      <c r="D5">
        <f>STDEV(Table14[packagetests])</f>
        <v>0.5</v>
      </c>
      <c r="E5">
        <f>STDEV(Table14[symbols])</f>
        <v>19.922767545365446</v>
      </c>
      <c r="F5">
        <f>STDEV(Table14[clobber])</f>
        <v>6.4485140407177015</v>
      </c>
      <c r="G5">
        <f>STDEV(Table14[total])</f>
        <v>31.73851498311371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185</v>
      </c>
      <c r="B7">
        <v>3728</v>
      </c>
      <c r="C7">
        <v>31</v>
      </c>
      <c r="D7">
        <v>15</v>
      </c>
      <c r="E7">
        <v>673</v>
      </c>
      <c r="F7">
        <v>222</v>
      </c>
      <c r="G7">
        <v>4854</v>
      </c>
    </row>
    <row r="8" spans="1:7" x14ac:dyDescent="0.25">
      <c r="A8">
        <v>205</v>
      </c>
      <c r="B8">
        <v>3771</v>
      </c>
      <c r="C8">
        <v>31</v>
      </c>
      <c r="D8">
        <v>15</v>
      </c>
      <c r="E8">
        <v>647</v>
      </c>
      <c r="F8">
        <v>222</v>
      </c>
      <c r="G8">
        <v>4891</v>
      </c>
    </row>
    <row r="9" spans="1:7" x14ac:dyDescent="0.25">
      <c r="A9">
        <v>202</v>
      </c>
      <c r="B9">
        <v>3761</v>
      </c>
      <c r="C9">
        <v>32</v>
      </c>
      <c r="D9">
        <v>15</v>
      </c>
      <c r="E9">
        <v>684</v>
      </c>
      <c r="F9">
        <v>211</v>
      </c>
      <c r="G9">
        <v>4905</v>
      </c>
    </row>
    <row r="10" spans="1:7" x14ac:dyDescent="0.25">
      <c r="A10">
        <v>215</v>
      </c>
      <c r="B10">
        <v>3753</v>
      </c>
      <c r="C10">
        <v>27</v>
      </c>
      <c r="D10">
        <v>16</v>
      </c>
      <c r="E10">
        <v>693</v>
      </c>
      <c r="F10">
        <v>226</v>
      </c>
      <c r="G10">
        <v>4930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" x14ac:dyDescent="0.25"/>
  <cols>
    <col min="1" max="3" width="12" bestFit="1" customWidth="1"/>
    <col min="4" max="4" width="14.7109375" bestFit="1" customWidth="1"/>
    <col min="5" max="7" width="12" bestFit="1" customWidth="1"/>
  </cols>
  <sheetData>
    <row r="1" spans="1:7" x14ac:dyDescent="0.25">
      <c r="A1" s="11" t="s">
        <v>13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2" t="str">
        <f>duali7hdj4[[#Headers],[clone]]</f>
        <v>clone</v>
      </c>
      <c r="B3" s="2" t="str">
        <f>duali7hdj4[[#Headers],[build]]</f>
        <v>build</v>
      </c>
      <c r="C3" s="2" t="str">
        <f>duali7hdj4[[#Headers],[package]]</f>
        <v>package</v>
      </c>
      <c r="D3" s="2" t="str">
        <f>duali7hdj4[[#Headers],[packagetests]]</f>
        <v>packagetests</v>
      </c>
      <c r="E3" s="2" t="str">
        <f>duali7hdj4[[#Headers],[symbols]]</f>
        <v>symbols</v>
      </c>
      <c r="F3" s="2" t="str">
        <f>duali7hdj4[[#Headers],[clobber]]</f>
        <v>clobber</v>
      </c>
      <c r="G3" s="2" t="str">
        <f>duali7hdj4[[#Headers],[total]]</f>
        <v>total</v>
      </c>
    </row>
    <row r="4" spans="1:7" x14ac:dyDescent="0.25">
      <c r="A4">
        <f>AVERAGE(duali7hdj4[clone])</f>
        <v>195.4</v>
      </c>
      <c r="B4">
        <f>AVERAGE(duali7hdj4[build])</f>
        <v>2926.6827586206896</v>
      </c>
      <c r="C4">
        <f>AVERAGE(duali7hdj4[package])</f>
        <v>28.827586206896552</v>
      </c>
      <c r="D4">
        <f>AVERAGE(duali7hdj4[packagetests])</f>
        <v>14.49655172413793</v>
      </c>
      <c r="E4">
        <f>AVERAGE(duali7hdj4[symbols])</f>
        <v>646.93793103448274</v>
      </c>
      <c r="F4">
        <f>AVERAGE(duali7hdj4[clobber])</f>
        <v>201.93103448275863</v>
      </c>
      <c r="G4">
        <f>AVERAGE(duali7hdj4[total])</f>
        <v>4014.2758620689656</v>
      </c>
    </row>
    <row r="5" spans="1:7" x14ac:dyDescent="0.25">
      <c r="A5" s="12" t="s">
        <v>9</v>
      </c>
      <c r="B5" s="12"/>
      <c r="C5" s="12"/>
      <c r="D5" s="12"/>
      <c r="E5" s="12"/>
      <c r="F5" s="12"/>
      <c r="G5" s="12"/>
    </row>
    <row r="6" spans="1:7" x14ac:dyDescent="0.25">
      <c r="A6">
        <f>STDEV(duali7hdj4[clone])</f>
        <v>15.699610752428793</v>
      </c>
      <c r="B6">
        <f>STDEV(duali7hdj4[build])</f>
        <v>35.811175988376839</v>
      </c>
      <c r="C6">
        <f>STDEV(duali7hdj4[package])</f>
        <v>1.3659796422867223</v>
      </c>
      <c r="D6">
        <f>STDEV(duali7hdj4[packagetests])</f>
        <v>2.91100435591451</v>
      </c>
      <c r="E6">
        <f>STDEV(duali7hdj4[symbols])</f>
        <v>25.136356109576283</v>
      </c>
      <c r="F6">
        <f>STDEV(duali7hdj4[clobber])</f>
        <v>12.838016013871218</v>
      </c>
      <c r="G6">
        <f>STDEV(duali7hdj4[total])</f>
        <v>75.262548119401899</v>
      </c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>
        <v>104</v>
      </c>
      <c r="B8">
        <v>2883</v>
      </c>
      <c r="C8">
        <v>28</v>
      </c>
      <c r="D8">
        <v>15</v>
      </c>
      <c r="E8">
        <v>617</v>
      </c>
      <c r="F8">
        <v>140</v>
      </c>
      <c r="G8">
        <v>3787</v>
      </c>
    </row>
    <row r="9" spans="1:7" x14ac:dyDescent="0.25">
      <c r="A9">
        <v>169</v>
      </c>
      <c r="B9">
        <v>2937</v>
      </c>
      <c r="C9">
        <v>27</v>
      </c>
      <c r="D9">
        <v>15</v>
      </c>
      <c r="E9">
        <v>617</v>
      </c>
      <c r="F9">
        <v>188</v>
      </c>
      <c r="G9">
        <v>3953</v>
      </c>
    </row>
    <row r="10" spans="1:7" x14ac:dyDescent="0.25">
      <c r="A10">
        <v>168</v>
      </c>
      <c r="B10">
        <v>2932</v>
      </c>
      <c r="C10">
        <v>28</v>
      </c>
      <c r="D10">
        <v>14</v>
      </c>
      <c r="E10">
        <v>620</v>
      </c>
      <c r="F10">
        <v>189</v>
      </c>
      <c r="G10">
        <v>3951</v>
      </c>
    </row>
    <row r="11" spans="1:7" x14ac:dyDescent="0.25">
      <c r="A11">
        <v>174</v>
      </c>
      <c r="B11">
        <v>2962</v>
      </c>
      <c r="C11">
        <v>29</v>
      </c>
      <c r="D11">
        <v>14</v>
      </c>
      <c r="E11">
        <v>622</v>
      </c>
      <c r="F11">
        <v>191</v>
      </c>
      <c r="G11">
        <v>3992</v>
      </c>
    </row>
    <row r="12" spans="1:7" x14ac:dyDescent="0.25">
      <c r="A12">
        <v>181</v>
      </c>
      <c r="B12">
        <v>2951</v>
      </c>
      <c r="C12">
        <v>27</v>
      </c>
      <c r="D12">
        <v>16</v>
      </c>
      <c r="E12">
        <v>624</v>
      </c>
      <c r="F12">
        <v>201</v>
      </c>
      <c r="G12">
        <v>4000</v>
      </c>
    </row>
    <row r="13" spans="1:7" x14ac:dyDescent="0.25">
      <c r="A13">
        <v>189</v>
      </c>
      <c r="B13">
        <v>2947</v>
      </c>
      <c r="C13">
        <v>28</v>
      </c>
      <c r="D13">
        <v>16</v>
      </c>
      <c r="E13">
        <v>626</v>
      </c>
      <c r="F13">
        <v>197</v>
      </c>
      <c r="G13">
        <v>4003</v>
      </c>
    </row>
    <row r="14" spans="1:7" x14ac:dyDescent="0.25">
      <c r="A14">
        <v>167</v>
      </c>
      <c r="B14">
        <v>2943</v>
      </c>
      <c r="C14">
        <v>29</v>
      </c>
      <c r="D14">
        <v>14</v>
      </c>
      <c r="E14">
        <v>626</v>
      </c>
      <c r="F14">
        <v>189</v>
      </c>
      <c r="G14">
        <v>3968</v>
      </c>
    </row>
    <row r="15" spans="1:7" x14ac:dyDescent="0.25">
      <c r="A15">
        <v>177</v>
      </c>
      <c r="B15">
        <v>2905</v>
      </c>
      <c r="C15">
        <v>28</v>
      </c>
      <c r="D15">
        <v>13</v>
      </c>
      <c r="E15">
        <v>637</v>
      </c>
      <c r="F15">
        <v>190</v>
      </c>
      <c r="G15">
        <v>3950</v>
      </c>
    </row>
    <row r="16" spans="1:7" x14ac:dyDescent="0.25">
      <c r="A16">
        <v>174</v>
      </c>
      <c r="B16">
        <v>2884</v>
      </c>
      <c r="C16">
        <v>26</v>
      </c>
      <c r="D16">
        <v>12</v>
      </c>
      <c r="E16">
        <v>657</v>
      </c>
      <c r="F16">
        <v>193</v>
      </c>
      <c r="G16">
        <v>3946</v>
      </c>
    </row>
    <row r="17" spans="1:7" x14ac:dyDescent="0.25">
      <c r="A17">
        <v>182</v>
      </c>
      <c r="B17">
        <v>2887</v>
      </c>
      <c r="C17">
        <v>29</v>
      </c>
      <c r="D17">
        <v>13</v>
      </c>
      <c r="E17">
        <v>609</v>
      </c>
      <c r="F17">
        <v>201</v>
      </c>
      <c r="G17">
        <v>3921</v>
      </c>
    </row>
    <row r="18" spans="1:7" x14ac:dyDescent="0.25">
      <c r="A18">
        <v>175</v>
      </c>
      <c r="B18">
        <v>2899</v>
      </c>
      <c r="C18">
        <v>28</v>
      </c>
      <c r="D18">
        <v>13</v>
      </c>
      <c r="E18">
        <v>617</v>
      </c>
      <c r="F18">
        <v>196</v>
      </c>
      <c r="G18">
        <v>3928</v>
      </c>
    </row>
    <row r="19" spans="1:7" x14ac:dyDescent="0.25">
      <c r="A19">
        <v>176</v>
      </c>
      <c r="B19">
        <v>2895</v>
      </c>
      <c r="C19">
        <v>28</v>
      </c>
      <c r="D19">
        <v>15</v>
      </c>
      <c r="E19">
        <v>625</v>
      </c>
      <c r="F19">
        <v>196</v>
      </c>
      <c r="G19">
        <v>3935</v>
      </c>
    </row>
    <row r="20" spans="1:7" x14ac:dyDescent="0.25">
      <c r="A20">
        <v>181</v>
      </c>
      <c r="B20">
        <v>2896</v>
      </c>
      <c r="C20">
        <v>27</v>
      </c>
      <c r="D20">
        <v>15</v>
      </c>
      <c r="E20">
        <v>625</v>
      </c>
      <c r="F20">
        <v>198</v>
      </c>
      <c r="G20">
        <v>3942</v>
      </c>
    </row>
    <row r="21" spans="1:7" x14ac:dyDescent="0.25">
      <c r="A21">
        <v>181</v>
      </c>
      <c r="B21">
        <v>2894</v>
      </c>
      <c r="C21">
        <v>27</v>
      </c>
      <c r="D21">
        <v>15</v>
      </c>
      <c r="E21">
        <v>621</v>
      </c>
      <c r="F21">
        <v>188</v>
      </c>
      <c r="G21">
        <v>3926</v>
      </c>
    </row>
    <row r="22" spans="1:7" x14ac:dyDescent="0.25">
      <c r="A22">
        <v>189</v>
      </c>
      <c r="B22">
        <v>2900</v>
      </c>
      <c r="C22">
        <v>27</v>
      </c>
      <c r="D22">
        <v>13</v>
      </c>
      <c r="E22">
        <v>620</v>
      </c>
      <c r="F22">
        <v>186</v>
      </c>
      <c r="G22">
        <v>3935</v>
      </c>
    </row>
    <row r="23" spans="1:7" x14ac:dyDescent="0.25">
      <c r="A23">
        <v>174</v>
      </c>
      <c r="B23">
        <v>2888</v>
      </c>
      <c r="C23">
        <v>29</v>
      </c>
      <c r="D23">
        <v>14</v>
      </c>
      <c r="E23">
        <v>627</v>
      </c>
      <c r="F23">
        <v>198</v>
      </c>
      <c r="G23">
        <v>3930</v>
      </c>
    </row>
    <row r="24" spans="1:7" x14ac:dyDescent="0.25">
      <c r="A24">
        <v>183</v>
      </c>
      <c r="B24">
        <v>2880</v>
      </c>
      <c r="C24">
        <v>28</v>
      </c>
      <c r="D24">
        <v>13</v>
      </c>
      <c r="E24">
        <v>628</v>
      </c>
      <c r="F24">
        <v>195</v>
      </c>
      <c r="G24">
        <v>3927</v>
      </c>
    </row>
    <row r="25" spans="1:7" x14ac:dyDescent="0.25">
      <c r="A25">
        <v>171</v>
      </c>
      <c r="B25">
        <v>2882</v>
      </c>
      <c r="C25">
        <v>29</v>
      </c>
      <c r="D25">
        <v>12</v>
      </c>
      <c r="E25">
        <v>626</v>
      </c>
      <c r="F25">
        <v>184</v>
      </c>
      <c r="G25">
        <v>3904</v>
      </c>
    </row>
    <row r="26" spans="1:7" x14ac:dyDescent="0.25">
      <c r="A26">
        <v>184</v>
      </c>
      <c r="B26">
        <v>2886</v>
      </c>
      <c r="C26">
        <v>28</v>
      </c>
      <c r="D26">
        <v>16</v>
      </c>
      <c r="E26">
        <v>630</v>
      </c>
      <c r="F26">
        <v>195</v>
      </c>
      <c r="G26">
        <v>3939</v>
      </c>
    </row>
    <row r="27" spans="1:7" x14ac:dyDescent="0.25">
      <c r="A27">
        <v>172</v>
      </c>
      <c r="B27">
        <v>2891</v>
      </c>
      <c r="C27">
        <v>29</v>
      </c>
      <c r="D27">
        <v>12</v>
      </c>
      <c r="E27">
        <v>628</v>
      </c>
      <c r="F27">
        <v>198</v>
      </c>
      <c r="G27">
        <v>3930</v>
      </c>
    </row>
    <row r="28" spans="1:7" x14ac:dyDescent="0.25">
      <c r="A28">
        <v>201</v>
      </c>
      <c r="B28">
        <v>2904</v>
      </c>
      <c r="C28">
        <v>28</v>
      </c>
      <c r="D28">
        <v>14</v>
      </c>
      <c r="E28">
        <v>614</v>
      </c>
      <c r="F28">
        <v>192</v>
      </c>
      <c r="G28">
        <v>3953</v>
      </c>
    </row>
    <row r="29" spans="1:7" x14ac:dyDescent="0.25">
      <c r="A29">
        <v>178</v>
      </c>
      <c r="B29">
        <v>2902</v>
      </c>
      <c r="C29">
        <v>29</v>
      </c>
      <c r="D29">
        <v>14</v>
      </c>
      <c r="E29">
        <v>628</v>
      </c>
      <c r="F29">
        <v>193</v>
      </c>
      <c r="G29">
        <v>3944</v>
      </c>
    </row>
    <row r="30" spans="1:7" x14ac:dyDescent="0.25">
      <c r="A30">
        <v>183</v>
      </c>
      <c r="B30">
        <v>2903</v>
      </c>
      <c r="C30">
        <v>28</v>
      </c>
      <c r="D30">
        <v>13</v>
      </c>
      <c r="E30">
        <v>623</v>
      </c>
      <c r="F30">
        <v>187</v>
      </c>
      <c r="G30">
        <v>3937</v>
      </c>
    </row>
    <row r="31" spans="1:7" x14ac:dyDescent="0.25">
      <c r="A31">
        <v>179</v>
      </c>
      <c r="B31">
        <v>2891</v>
      </c>
      <c r="C31">
        <v>30</v>
      </c>
      <c r="D31">
        <v>13</v>
      </c>
      <c r="E31">
        <v>632</v>
      </c>
      <c r="F31">
        <v>192</v>
      </c>
      <c r="G31">
        <v>3937</v>
      </c>
    </row>
    <row r="32" spans="1:7" x14ac:dyDescent="0.25">
      <c r="A32">
        <v>183</v>
      </c>
      <c r="B32">
        <v>2895</v>
      </c>
      <c r="C32">
        <v>29</v>
      </c>
      <c r="D32">
        <v>14</v>
      </c>
      <c r="E32">
        <v>628</v>
      </c>
      <c r="F32">
        <v>191</v>
      </c>
      <c r="G32">
        <v>3940</v>
      </c>
    </row>
    <row r="33" spans="1:7" x14ac:dyDescent="0.25">
      <c r="A33">
        <v>197</v>
      </c>
      <c r="B33">
        <v>2900</v>
      </c>
      <c r="C33">
        <v>27</v>
      </c>
      <c r="D33">
        <v>16</v>
      </c>
      <c r="E33">
        <v>627</v>
      </c>
      <c r="F33">
        <v>193</v>
      </c>
      <c r="G33">
        <v>3960</v>
      </c>
    </row>
    <row r="34" spans="1:7" x14ac:dyDescent="0.25">
      <c r="A34">
        <v>194</v>
      </c>
      <c r="B34">
        <v>2893</v>
      </c>
      <c r="C34">
        <v>28</v>
      </c>
      <c r="D34">
        <v>12</v>
      </c>
      <c r="E34">
        <v>629</v>
      </c>
      <c r="F34">
        <v>187</v>
      </c>
      <c r="G34">
        <v>3943</v>
      </c>
    </row>
    <row r="35" spans="1:7" x14ac:dyDescent="0.25">
      <c r="A35">
        <v>193</v>
      </c>
      <c r="B35">
        <v>2887</v>
      </c>
      <c r="C35">
        <v>29</v>
      </c>
      <c r="D35">
        <v>14</v>
      </c>
      <c r="E35">
        <v>630</v>
      </c>
      <c r="F35">
        <v>190</v>
      </c>
      <c r="G35">
        <v>3943</v>
      </c>
    </row>
    <row r="36" spans="1:7" x14ac:dyDescent="0.25">
      <c r="A36">
        <v>184</v>
      </c>
      <c r="B36">
        <v>2878</v>
      </c>
      <c r="C36">
        <v>28</v>
      </c>
      <c r="D36">
        <v>14</v>
      </c>
      <c r="E36">
        <v>642</v>
      </c>
      <c r="F36">
        <v>193</v>
      </c>
      <c r="G36">
        <v>3939</v>
      </c>
    </row>
    <row r="37" spans="1:7" x14ac:dyDescent="0.25">
      <c r="A37">
        <v>193</v>
      </c>
      <c r="B37">
        <v>2878</v>
      </c>
      <c r="C37">
        <v>27</v>
      </c>
      <c r="D37">
        <v>21</v>
      </c>
      <c r="E37">
        <v>652</v>
      </c>
      <c r="F37">
        <v>205</v>
      </c>
      <c r="G37">
        <v>3976</v>
      </c>
    </row>
    <row r="38" spans="1:7" x14ac:dyDescent="0.25">
      <c r="A38">
        <v>183</v>
      </c>
      <c r="B38">
        <v>2891</v>
      </c>
      <c r="C38">
        <v>29</v>
      </c>
      <c r="D38">
        <v>13</v>
      </c>
      <c r="E38">
        <v>613</v>
      </c>
      <c r="F38">
        <v>205</v>
      </c>
      <c r="G38">
        <v>3934</v>
      </c>
    </row>
    <row r="39" spans="1:7" x14ac:dyDescent="0.25">
      <c r="A39">
        <v>182</v>
      </c>
      <c r="B39">
        <v>2897</v>
      </c>
      <c r="C39">
        <v>28</v>
      </c>
      <c r="D39">
        <v>14</v>
      </c>
      <c r="E39">
        <v>614</v>
      </c>
      <c r="F39">
        <v>196</v>
      </c>
      <c r="G39">
        <v>3931</v>
      </c>
    </row>
    <row r="40" spans="1:7" x14ac:dyDescent="0.25">
      <c r="A40">
        <v>185</v>
      </c>
      <c r="B40">
        <v>2912</v>
      </c>
      <c r="C40">
        <v>27</v>
      </c>
      <c r="D40">
        <v>14</v>
      </c>
      <c r="E40">
        <v>611</v>
      </c>
      <c r="F40">
        <v>195</v>
      </c>
      <c r="G40">
        <v>3944</v>
      </c>
    </row>
    <row r="41" spans="1:7" x14ac:dyDescent="0.25">
      <c r="A41">
        <v>185</v>
      </c>
      <c r="B41">
        <v>2902</v>
      </c>
      <c r="C41">
        <v>27</v>
      </c>
      <c r="D41">
        <v>14</v>
      </c>
      <c r="E41">
        <v>615</v>
      </c>
      <c r="F41">
        <v>198</v>
      </c>
      <c r="G41">
        <v>3941</v>
      </c>
    </row>
    <row r="42" spans="1:7" x14ac:dyDescent="0.25">
      <c r="A42">
        <v>185</v>
      </c>
      <c r="B42">
        <v>2903</v>
      </c>
      <c r="C42">
        <v>28</v>
      </c>
      <c r="D42">
        <v>15</v>
      </c>
      <c r="E42">
        <v>619</v>
      </c>
      <c r="F42">
        <v>187</v>
      </c>
      <c r="G42">
        <v>3937</v>
      </c>
    </row>
    <row r="43" spans="1:7" x14ac:dyDescent="0.25">
      <c r="A43">
        <v>181</v>
      </c>
      <c r="B43">
        <v>2897</v>
      </c>
      <c r="C43">
        <v>27</v>
      </c>
      <c r="D43">
        <v>13</v>
      </c>
      <c r="E43">
        <v>624</v>
      </c>
      <c r="F43">
        <v>207</v>
      </c>
      <c r="G43">
        <v>3949</v>
      </c>
    </row>
    <row r="44" spans="1:7" x14ac:dyDescent="0.25">
      <c r="A44">
        <v>170</v>
      </c>
      <c r="B44">
        <v>2894</v>
      </c>
      <c r="C44">
        <v>27</v>
      </c>
      <c r="D44">
        <v>13</v>
      </c>
      <c r="E44">
        <v>632</v>
      </c>
      <c r="F44">
        <v>196</v>
      </c>
      <c r="G44">
        <v>3932</v>
      </c>
    </row>
    <row r="45" spans="1:7" x14ac:dyDescent="0.25">
      <c r="A45">
        <v>193</v>
      </c>
      <c r="B45">
        <v>2882</v>
      </c>
      <c r="C45">
        <v>29</v>
      </c>
      <c r="D45">
        <v>14</v>
      </c>
      <c r="E45">
        <v>636</v>
      </c>
      <c r="F45">
        <v>198</v>
      </c>
      <c r="G45">
        <v>3952</v>
      </c>
    </row>
    <row r="46" spans="1:7" x14ac:dyDescent="0.25">
      <c r="A46">
        <v>183</v>
      </c>
      <c r="B46">
        <v>2888</v>
      </c>
      <c r="C46">
        <v>29</v>
      </c>
      <c r="D46">
        <v>12</v>
      </c>
      <c r="E46">
        <v>621</v>
      </c>
      <c r="F46">
        <v>192</v>
      </c>
      <c r="G46">
        <v>3925</v>
      </c>
    </row>
    <row r="47" spans="1:7" x14ac:dyDescent="0.25">
      <c r="A47">
        <v>194</v>
      </c>
      <c r="B47">
        <v>2883</v>
      </c>
      <c r="C47">
        <v>29</v>
      </c>
      <c r="D47">
        <v>14</v>
      </c>
      <c r="E47">
        <v>636</v>
      </c>
      <c r="F47">
        <v>216</v>
      </c>
      <c r="G47">
        <v>3972</v>
      </c>
    </row>
    <row r="48" spans="1:7" x14ac:dyDescent="0.25">
      <c r="A48">
        <v>192</v>
      </c>
      <c r="B48">
        <v>2897</v>
      </c>
      <c r="C48">
        <v>28</v>
      </c>
      <c r="D48">
        <v>14</v>
      </c>
      <c r="E48">
        <v>615</v>
      </c>
      <c r="F48">
        <v>208</v>
      </c>
      <c r="G48">
        <v>3954</v>
      </c>
    </row>
    <row r="49" spans="1:7" x14ac:dyDescent="0.25">
      <c r="A49">
        <v>193</v>
      </c>
      <c r="B49">
        <v>2898</v>
      </c>
      <c r="C49">
        <v>28</v>
      </c>
      <c r="D49">
        <v>14</v>
      </c>
      <c r="E49">
        <v>618</v>
      </c>
      <c r="F49">
        <v>203</v>
      </c>
      <c r="G49">
        <v>3954</v>
      </c>
    </row>
    <row r="50" spans="1:7" x14ac:dyDescent="0.25">
      <c r="A50">
        <v>187</v>
      </c>
      <c r="B50">
        <v>2899</v>
      </c>
      <c r="C50">
        <v>28</v>
      </c>
      <c r="D50">
        <v>15</v>
      </c>
      <c r="E50">
        <v>640</v>
      </c>
      <c r="F50">
        <v>185</v>
      </c>
      <c r="G50">
        <v>3954</v>
      </c>
    </row>
    <row r="51" spans="1:7" x14ac:dyDescent="0.25">
      <c r="A51">
        <v>191</v>
      </c>
      <c r="B51">
        <v>2914</v>
      </c>
      <c r="C51">
        <v>28</v>
      </c>
      <c r="D51">
        <v>15</v>
      </c>
      <c r="E51">
        <v>613</v>
      </c>
      <c r="F51">
        <v>190</v>
      </c>
      <c r="G51">
        <v>3951</v>
      </c>
    </row>
    <row r="52" spans="1:7" x14ac:dyDescent="0.25">
      <c r="A52">
        <v>194</v>
      </c>
      <c r="B52">
        <v>2895</v>
      </c>
      <c r="C52">
        <v>28</v>
      </c>
      <c r="D52">
        <v>13</v>
      </c>
      <c r="E52">
        <v>615</v>
      </c>
      <c r="F52">
        <v>204</v>
      </c>
      <c r="G52">
        <v>3949</v>
      </c>
    </row>
    <row r="53" spans="1:7" x14ac:dyDescent="0.25">
      <c r="A53">
        <v>186</v>
      </c>
      <c r="B53">
        <v>2898</v>
      </c>
      <c r="C53">
        <v>29</v>
      </c>
      <c r="D53">
        <v>14</v>
      </c>
      <c r="E53">
        <v>619</v>
      </c>
      <c r="F53">
        <v>186</v>
      </c>
      <c r="G53">
        <v>3932</v>
      </c>
    </row>
    <row r="54" spans="1:7" x14ac:dyDescent="0.25">
      <c r="A54">
        <v>206</v>
      </c>
      <c r="B54">
        <v>2897</v>
      </c>
      <c r="C54">
        <v>27</v>
      </c>
      <c r="D54">
        <v>15</v>
      </c>
      <c r="E54">
        <v>634</v>
      </c>
      <c r="F54">
        <v>197</v>
      </c>
      <c r="G54">
        <v>3976</v>
      </c>
    </row>
    <row r="55" spans="1:7" x14ac:dyDescent="0.25">
      <c r="A55">
        <v>182</v>
      </c>
      <c r="B55">
        <v>2893</v>
      </c>
      <c r="C55">
        <v>27</v>
      </c>
      <c r="D55">
        <v>12</v>
      </c>
      <c r="E55">
        <v>649</v>
      </c>
      <c r="F55">
        <v>189</v>
      </c>
      <c r="G55">
        <v>3952</v>
      </c>
    </row>
    <row r="56" spans="1:7" x14ac:dyDescent="0.25">
      <c r="A56">
        <v>186</v>
      </c>
      <c r="B56">
        <v>2895</v>
      </c>
      <c r="C56">
        <v>28</v>
      </c>
      <c r="D56">
        <v>15</v>
      </c>
      <c r="E56">
        <v>638</v>
      </c>
      <c r="F56">
        <v>191</v>
      </c>
      <c r="G56">
        <v>3953</v>
      </c>
    </row>
    <row r="57" spans="1:7" x14ac:dyDescent="0.25">
      <c r="A57">
        <v>197</v>
      </c>
      <c r="B57">
        <v>2883</v>
      </c>
      <c r="C57">
        <v>30</v>
      </c>
      <c r="D57">
        <v>13</v>
      </c>
      <c r="E57">
        <v>636</v>
      </c>
      <c r="F57">
        <v>197</v>
      </c>
      <c r="G57">
        <v>3956</v>
      </c>
    </row>
    <row r="58" spans="1:7" x14ac:dyDescent="0.25">
      <c r="A58">
        <v>187</v>
      </c>
      <c r="B58">
        <v>2898</v>
      </c>
      <c r="C58">
        <v>29</v>
      </c>
      <c r="D58">
        <v>15</v>
      </c>
      <c r="E58">
        <v>645</v>
      </c>
      <c r="F58">
        <v>200</v>
      </c>
      <c r="G58">
        <v>3974</v>
      </c>
    </row>
    <row r="59" spans="1:7" x14ac:dyDescent="0.25">
      <c r="A59">
        <v>178</v>
      </c>
      <c r="B59">
        <v>2896</v>
      </c>
      <c r="C59">
        <v>29</v>
      </c>
      <c r="D59">
        <v>13</v>
      </c>
      <c r="E59">
        <v>612</v>
      </c>
      <c r="F59">
        <v>191</v>
      </c>
      <c r="G59">
        <v>3919</v>
      </c>
    </row>
    <row r="60" spans="1:7" x14ac:dyDescent="0.25">
      <c r="A60">
        <v>196</v>
      </c>
      <c r="B60">
        <v>2902</v>
      </c>
      <c r="C60">
        <v>27</v>
      </c>
      <c r="D60">
        <v>20</v>
      </c>
      <c r="E60">
        <v>633</v>
      </c>
      <c r="F60">
        <v>192</v>
      </c>
      <c r="G60">
        <v>3970</v>
      </c>
    </row>
    <row r="61" spans="1:7" x14ac:dyDescent="0.25">
      <c r="A61">
        <v>192</v>
      </c>
      <c r="B61">
        <v>2910</v>
      </c>
      <c r="C61">
        <v>28</v>
      </c>
      <c r="D61">
        <v>16</v>
      </c>
      <c r="E61">
        <v>637</v>
      </c>
      <c r="F61">
        <v>216</v>
      </c>
      <c r="G61">
        <v>3999</v>
      </c>
    </row>
    <row r="62" spans="1:7" x14ac:dyDescent="0.25">
      <c r="A62">
        <v>197</v>
      </c>
      <c r="B62">
        <v>2899</v>
      </c>
      <c r="C62">
        <v>28</v>
      </c>
      <c r="D62">
        <v>14</v>
      </c>
      <c r="E62">
        <v>618</v>
      </c>
      <c r="F62">
        <v>186</v>
      </c>
      <c r="G62">
        <v>3942</v>
      </c>
    </row>
    <row r="63" spans="1:7" x14ac:dyDescent="0.25">
      <c r="A63">
        <v>186</v>
      </c>
      <c r="B63">
        <v>2901</v>
      </c>
      <c r="C63">
        <v>29</v>
      </c>
      <c r="D63">
        <v>13</v>
      </c>
      <c r="E63">
        <v>620</v>
      </c>
      <c r="F63">
        <v>203</v>
      </c>
      <c r="G63">
        <v>3952</v>
      </c>
    </row>
    <row r="64" spans="1:7" x14ac:dyDescent="0.25">
      <c r="A64">
        <v>197</v>
      </c>
      <c r="B64">
        <v>2902</v>
      </c>
      <c r="C64">
        <v>27</v>
      </c>
      <c r="D64">
        <v>13</v>
      </c>
      <c r="E64">
        <v>623</v>
      </c>
      <c r="F64">
        <v>197</v>
      </c>
      <c r="G64">
        <v>3959</v>
      </c>
    </row>
    <row r="65" spans="1:7" x14ac:dyDescent="0.25">
      <c r="A65">
        <v>205</v>
      </c>
      <c r="B65">
        <v>2901</v>
      </c>
      <c r="C65">
        <v>28</v>
      </c>
      <c r="D65">
        <v>15</v>
      </c>
      <c r="E65">
        <v>637</v>
      </c>
      <c r="F65">
        <v>214</v>
      </c>
      <c r="G65">
        <v>4000</v>
      </c>
    </row>
    <row r="66" spans="1:7" x14ac:dyDescent="0.25">
      <c r="A66">
        <v>196</v>
      </c>
      <c r="B66">
        <v>2888</v>
      </c>
      <c r="C66">
        <v>30</v>
      </c>
      <c r="D66">
        <v>15</v>
      </c>
      <c r="E66">
        <v>644</v>
      </c>
      <c r="F66">
        <v>194</v>
      </c>
      <c r="G66">
        <v>3967</v>
      </c>
    </row>
    <row r="67" spans="1:7" x14ac:dyDescent="0.25">
      <c r="A67">
        <v>185</v>
      </c>
      <c r="B67">
        <v>2877</v>
      </c>
      <c r="C67">
        <v>29</v>
      </c>
      <c r="D67">
        <v>13</v>
      </c>
      <c r="E67">
        <v>645</v>
      </c>
      <c r="F67">
        <v>210</v>
      </c>
      <c r="G67">
        <v>3959</v>
      </c>
    </row>
    <row r="68" spans="1:7" x14ac:dyDescent="0.25">
      <c r="A68">
        <v>189</v>
      </c>
      <c r="B68">
        <v>2902</v>
      </c>
      <c r="C68">
        <v>29</v>
      </c>
      <c r="D68">
        <v>15</v>
      </c>
      <c r="E68">
        <v>622</v>
      </c>
      <c r="F68">
        <v>213</v>
      </c>
      <c r="G68">
        <v>3970</v>
      </c>
    </row>
    <row r="69" spans="1:7" x14ac:dyDescent="0.25">
      <c r="A69">
        <v>186</v>
      </c>
      <c r="B69">
        <v>2909</v>
      </c>
      <c r="C69">
        <v>28</v>
      </c>
      <c r="D69">
        <v>14</v>
      </c>
      <c r="E69">
        <v>624</v>
      </c>
      <c r="F69">
        <v>222</v>
      </c>
      <c r="G69">
        <v>3983</v>
      </c>
    </row>
    <row r="70" spans="1:7" x14ac:dyDescent="0.25">
      <c r="A70">
        <v>194</v>
      </c>
      <c r="B70">
        <v>2909</v>
      </c>
      <c r="C70">
        <v>29</v>
      </c>
      <c r="D70">
        <v>13</v>
      </c>
      <c r="E70">
        <v>618</v>
      </c>
      <c r="F70">
        <v>194</v>
      </c>
      <c r="G70">
        <v>3957</v>
      </c>
    </row>
    <row r="71" spans="1:7" x14ac:dyDescent="0.25">
      <c r="A71">
        <v>202</v>
      </c>
      <c r="B71">
        <v>2901</v>
      </c>
      <c r="C71">
        <v>27</v>
      </c>
      <c r="D71">
        <v>15</v>
      </c>
      <c r="E71">
        <v>640</v>
      </c>
      <c r="F71">
        <v>192</v>
      </c>
      <c r="G71">
        <v>3977</v>
      </c>
    </row>
    <row r="72" spans="1:7" x14ac:dyDescent="0.25">
      <c r="A72">
        <v>205</v>
      </c>
      <c r="B72">
        <v>2902</v>
      </c>
      <c r="C72">
        <v>27</v>
      </c>
      <c r="D72">
        <v>13</v>
      </c>
      <c r="E72">
        <v>623</v>
      </c>
      <c r="F72">
        <v>193</v>
      </c>
      <c r="G72">
        <v>3963</v>
      </c>
    </row>
    <row r="73" spans="1:7" x14ac:dyDescent="0.25">
      <c r="A73">
        <v>195</v>
      </c>
      <c r="B73">
        <v>2911</v>
      </c>
      <c r="C73">
        <v>26</v>
      </c>
      <c r="D73">
        <v>14</v>
      </c>
      <c r="E73">
        <v>632</v>
      </c>
      <c r="F73">
        <v>195</v>
      </c>
      <c r="G73">
        <v>3973</v>
      </c>
    </row>
    <row r="74" spans="1:7" x14ac:dyDescent="0.25">
      <c r="A74">
        <v>198</v>
      </c>
      <c r="B74">
        <v>2888</v>
      </c>
      <c r="C74">
        <v>29</v>
      </c>
      <c r="D74">
        <v>14</v>
      </c>
      <c r="E74">
        <v>631</v>
      </c>
      <c r="F74">
        <v>188</v>
      </c>
      <c r="G74">
        <v>3948</v>
      </c>
    </row>
    <row r="75" spans="1:7" x14ac:dyDescent="0.25">
      <c r="A75">
        <v>205</v>
      </c>
      <c r="B75">
        <v>2890</v>
      </c>
      <c r="C75">
        <v>30</v>
      </c>
      <c r="D75">
        <v>13</v>
      </c>
      <c r="E75">
        <v>661</v>
      </c>
      <c r="F75">
        <v>168</v>
      </c>
      <c r="G75">
        <v>3967</v>
      </c>
    </row>
    <row r="76" spans="1:7" x14ac:dyDescent="0.25">
      <c r="A76">
        <v>190</v>
      </c>
      <c r="B76">
        <v>2892</v>
      </c>
      <c r="C76">
        <v>29</v>
      </c>
      <c r="D76">
        <v>12</v>
      </c>
      <c r="E76">
        <v>649</v>
      </c>
      <c r="F76">
        <v>199</v>
      </c>
      <c r="G76">
        <v>3971</v>
      </c>
    </row>
    <row r="77" spans="1:7" x14ac:dyDescent="0.25">
      <c r="A77">
        <v>198</v>
      </c>
      <c r="B77">
        <v>2886</v>
      </c>
      <c r="C77">
        <v>29</v>
      </c>
      <c r="D77">
        <v>14</v>
      </c>
      <c r="E77">
        <v>670</v>
      </c>
      <c r="F77">
        <v>194</v>
      </c>
      <c r="G77">
        <v>3991</v>
      </c>
    </row>
    <row r="78" spans="1:7" x14ac:dyDescent="0.25">
      <c r="A78">
        <v>197</v>
      </c>
      <c r="B78">
        <v>2905</v>
      </c>
      <c r="C78">
        <v>27</v>
      </c>
      <c r="D78">
        <v>17</v>
      </c>
      <c r="E78">
        <v>657</v>
      </c>
      <c r="F78">
        <v>194</v>
      </c>
      <c r="G78">
        <v>3997</v>
      </c>
    </row>
    <row r="79" spans="1:7" x14ac:dyDescent="0.25">
      <c r="A79">
        <v>191</v>
      </c>
      <c r="B79">
        <v>2918</v>
      </c>
      <c r="C79">
        <v>30</v>
      </c>
      <c r="D79">
        <v>14</v>
      </c>
      <c r="E79">
        <v>642</v>
      </c>
      <c r="F79">
        <v>195</v>
      </c>
      <c r="G79">
        <v>3990</v>
      </c>
    </row>
    <row r="80" spans="1:7" x14ac:dyDescent="0.25">
      <c r="A80">
        <v>193</v>
      </c>
      <c r="B80">
        <v>2904</v>
      </c>
      <c r="C80">
        <v>28</v>
      </c>
      <c r="D80">
        <v>14</v>
      </c>
      <c r="E80">
        <v>645</v>
      </c>
      <c r="F80">
        <v>205</v>
      </c>
      <c r="G80">
        <v>3989</v>
      </c>
    </row>
    <row r="81" spans="1:7" x14ac:dyDescent="0.25">
      <c r="A81">
        <v>204</v>
      </c>
      <c r="B81">
        <v>2911</v>
      </c>
      <c r="C81">
        <v>28</v>
      </c>
      <c r="D81">
        <v>15</v>
      </c>
      <c r="E81">
        <v>654</v>
      </c>
      <c r="F81">
        <v>197</v>
      </c>
      <c r="G81">
        <v>4009</v>
      </c>
    </row>
    <row r="82" spans="1:7" x14ac:dyDescent="0.25">
      <c r="A82">
        <v>200</v>
      </c>
      <c r="B82">
        <v>2904</v>
      </c>
      <c r="C82">
        <v>28</v>
      </c>
      <c r="D82">
        <v>14</v>
      </c>
      <c r="E82">
        <v>632</v>
      </c>
      <c r="F82">
        <v>198</v>
      </c>
      <c r="G82">
        <v>3976</v>
      </c>
    </row>
    <row r="83" spans="1:7" x14ac:dyDescent="0.25">
      <c r="A83">
        <v>198</v>
      </c>
      <c r="B83">
        <v>2901</v>
      </c>
      <c r="C83">
        <v>27</v>
      </c>
      <c r="D83">
        <v>16</v>
      </c>
      <c r="E83">
        <v>651</v>
      </c>
      <c r="F83">
        <v>192</v>
      </c>
      <c r="G83">
        <v>3985</v>
      </c>
    </row>
    <row r="84" spans="1:7" x14ac:dyDescent="0.25">
      <c r="A84">
        <v>176</v>
      </c>
      <c r="B84">
        <v>2911</v>
      </c>
      <c r="C84">
        <v>28</v>
      </c>
      <c r="D84">
        <v>14</v>
      </c>
      <c r="E84">
        <v>674</v>
      </c>
      <c r="F84">
        <v>191</v>
      </c>
      <c r="G84">
        <v>3994</v>
      </c>
    </row>
    <row r="85" spans="1:7" x14ac:dyDescent="0.25">
      <c r="A85">
        <v>202</v>
      </c>
      <c r="B85">
        <v>2901</v>
      </c>
      <c r="C85">
        <v>29</v>
      </c>
      <c r="D85">
        <v>13</v>
      </c>
      <c r="E85">
        <v>677</v>
      </c>
      <c r="F85">
        <v>196</v>
      </c>
      <c r="G85">
        <v>4018</v>
      </c>
    </row>
    <row r="86" spans="1:7" x14ac:dyDescent="0.25">
      <c r="A86">
        <v>191</v>
      </c>
      <c r="B86">
        <v>2906</v>
      </c>
      <c r="C86">
        <v>29</v>
      </c>
      <c r="D86">
        <v>13</v>
      </c>
      <c r="E86">
        <v>657</v>
      </c>
      <c r="F86">
        <v>196</v>
      </c>
      <c r="G86">
        <v>3992</v>
      </c>
    </row>
    <row r="87" spans="1:7" x14ac:dyDescent="0.25">
      <c r="A87">
        <v>190</v>
      </c>
      <c r="B87">
        <v>2927</v>
      </c>
      <c r="C87">
        <v>29</v>
      </c>
      <c r="D87">
        <v>14</v>
      </c>
      <c r="E87">
        <v>640</v>
      </c>
      <c r="F87">
        <v>204</v>
      </c>
      <c r="G87">
        <v>4004</v>
      </c>
    </row>
    <row r="88" spans="1:7" x14ac:dyDescent="0.25">
      <c r="A88">
        <v>206</v>
      </c>
      <c r="B88">
        <v>2930</v>
      </c>
      <c r="C88">
        <v>29</v>
      </c>
      <c r="D88">
        <v>14</v>
      </c>
      <c r="E88">
        <v>654</v>
      </c>
      <c r="F88">
        <v>207</v>
      </c>
      <c r="G88">
        <v>4040</v>
      </c>
    </row>
    <row r="89" spans="1:7" x14ac:dyDescent="0.25">
      <c r="A89">
        <v>204</v>
      </c>
      <c r="B89">
        <v>2915</v>
      </c>
      <c r="C89">
        <v>29</v>
      </c>
      <c r="D89">
        <v>14</v>
      </c>
      <c r="E89">
        <v>646</v>
      </c>
      <c r="F89">
        <v>210</v>
      </c>
      <c r="G89">
        <v>4018</v>
      </c>
    </row>
    <row r="90" spans="1:7" x14ac:dyDescent="0.25">
      <c r="A90">
        <v>202</v>
      </c>
      <c r="B90">
        <v>2930</v>
      </c>
      <c r="C90">
        <v>29</v>
      </c>
      <c r="D90">
        <v>14</v>
      </c>
      <c r="E90">
        <v>635</v>
      </c>
      <c r="F90">
        <v>197</v>
      </c>
      <c r="G90">
        <v>4007</v>
      </c>
    </row>
    <row r="91" spans="1:7" x14ac:dyDescent="0.25">
      <c r="A91">
        <v>199</v>
      </c>
      <c r="B91">
        <v>2931</v>
      </c>
      <c r="C91">
        <v>30</v>
      </c>
      <c r="D91">
        <v>13</v>
      </c>
      <c r="E91">
        <v>654</v>
      </c>
      <c r="F91">
        <v>218</v>
      </c>
      <c r="G91">
        <v>4045</v>
      </c>
    </row>
    <row r="92" spans="1:7" x14ac:dyDescent="0.25">
      <c r="A92">
        <v>205</v>
      </c>
      <c r="B92">
        <v>2910</v>
      </c>
      <c r="C92">
        <v>29</v>
      </c>
      <c r="D92">
        <v>13</v>
      </c>
      <c r="E92">
        <v>671</v>
      </c>
      <c r="F92">
        <v>207</v>
      </c>
      <c r="G92">
        <v>4035</v>
      </c>
    </row>
    <row r="93" spans="1:7" x14ac:dyDescent="0.25">
      <c r="A93">
        <v>197</v>
      </c>
      <c r="B93">
        <v>2908</v>
      </c>
      <c r="C93">
        <v>30</v>
      </c>
      <c r="D93">
        <v>12</v>
      </c>
      <c r="E93">
        <v>679</v>
      </c>
      <c r="F93">
        <v>186</v>
      </c>
      <c r="G93">
        <v>4012</v>
      </c>
    </row>
    <row r="94" spans="1:7" x14ac:dyDescent="0.25">
      <c r="A94">
        <v>182</v>
      </c>
      <c r="B94">
        <v>2908</v>
      </c>
      <c r="C94">
        <v>30</v>
      </c>
      <c r="D94">
        <v>15</v>
      </c>
      <c r="E94">
        <v>680</v>
      </c>
      <c r="F94">
        <v>192</v>
      </c>
      <c r="G94">
        <v>4007</v>
      </c>
    </row>
    <row r="95" spans="1:7" x14ac:dyDescent="0.25">
      <c r="A95">
        <v>196</v>
      </c>
      <c r="B95">
        <v>2914</v>
      </c>
      <c r="C95">
        <v>28</v>
      </c>
      <c r="D95">
        <v>13</v>
      </c>
      <c r="E95">
        <v>710</v>
      </c>
      <c r="F95">
        <v>208</v>
      </c>
      <c r="G95">
        <v>4069</v>
      </c>
    </row>
    <row r="96" spans="1:7" x14ac:dyDescent="0.25">
      <c r="A96">
        <v>203</v>
      </c>
      <c r="B96">
        <v>2928</v>
      </c>
      <c r="C96">
        <v>27</v>
      </c>
      <c r="D96">
        <v>14</v>
      </c>
      <c r="E96">
        <v>643</v>
      </c>
      <c r="F96">
        <v>194</v>
      </c>
      <c r="G96">
        <v>4009</v>
      </c>
    </row>
    <row r="97" spans="1:7" x14ac:dyDescent="0.25">
      <c r="A97">
        <v>204</v>
      </c>
      <c r="B97">
        <v>2926</v>
      </c>
      <c r="C97">
        <v>29</v>
      </c>
      <c r="D97">
        <v>16</v>
      </c>
      <c r="E97">
        <v>638</v>
      </c>
      <c r="F97">
        <v>199</v>
      </c>
      <c r="G97">
        <v>4012</v>
      </c>
    </row>
    <row r="98" spans="1:7" x14ac:dyDescent="0.25">
      <c r="A98">
        <v>208</v>
      </c>
      <c r="B98">
        <v>2926</v>
      </c>
      <c r="C98">
        <v>29</v>
      </c>
      <c r="D98">
        <v>14</v>
      </c>
      <c r="E98">
        <v>644</v>
      </c>
      <c r="F98">
        <v>205</v>
      </c>
      <c r="G98">
        <v>4026</v>
      </c>
    </row>
    <row r="99" spans="1:7" x14ac:dyDescent="0.25">
      <c r="A99">
        <v>204</v>
      </c>
      <c r="B99">
        <v>2925</v>
      </c>
      <c r="C99">
        <v>28</v>
      </c>
      <c r="D99">
        <v>14</v>
      </c>
      <c r="E99">
        <v>668</v>
      </c>
      <c r="F99">
        <v>207</v>
      </c>
      <c r="G99">
        <v>4046</v>
      </c>
    </row>
    <row r="100" spans="1:7" x14ac:dyDescent="0.25">
      <c r="A100">
        <v>199</v>
      </c>
      <c r="B100">
        <v>2921</v>
      </c>
      <c r="C100">
        <v>28</v>
      </c>
      <c r="D100">
        <v>16</v>
      </c>
      <c r="E100">
        <v>671</v>
      </c>
      <c r="F100">
        <v>194</v>
      </c>
      <c r="G100">
        <v>4029</v>
      </c>
    </row>
    <row r="101" spans="1:7" x14ac:dyDescent="0.25">
      <c r="A101">
        <v>199</v>
      </c>
      <c r="B101">
        <v>2934</v>
      </c>
      <c r="C101">
        <v>31</v>
      </c>
      <c r="D101">
        <v>15</v>
      </c>
      <c r="E101">
        <v>649</v>
      </c>
      <c r="F101">
        <v>200</v>
      </c>
      <c r="G101">
        <v>4028</v>
      </c>
    </row>
    <row r="102" spans="1:7" x14ac:dyDescent="0.25">
      <c r="A102">
        <v>206</v>
      </c>
      <c r="B102">
        <v>2925</v>
      </c>
      <c r="C102">
        <v>30</v>
      </c>
      <c r="D102">
        <v>13</v>
      </c>
      <c r="E102">
        <v>668</v>
      </c>
      <c r="F102">
        <v>202</v>
      </c>
      <c r="G102">
        <v>4044</v>
      </c>
    </row>
    <row r="103" spans="1:7" x14ac:dyDescent="0.25">
      <c r="A103">
        <v>196</v>
      </c>
      <c r="B103">
        <v>2921</v>
      </c>
      <c r="C103">
        <v>28</v>
      </c>
      <c r="D103">
        <v>18</v>
      </c>
      <c r="E103">
        <v>679</v>
      </c>
      <c r="F103">
        <v>208</v>
      </c>
      <c r="G103">
        <v>4050</v>
      </c>
    </row>
    <row r="104" spans="1:7" x14ac:dyDescent="0.25">
      <c r="A104">
        <v>199</v>
      </c>
      <c r="B104">
        <v>2940</v>
      </c>
      <c r="C104">
        <v>29</v>
      </c>
      <c r="D104">
        <v>14</v>
      </c>
      <c r="E104">
        <v>643</v>
      </c>
      <c r="F104">
        <v>210</v>
      </c>
      <c r="G104">
        <v>4035</v>
      </c>
    </row>
    <row r="105" spans="1:7" x14ac:dyDescent="0.25">
      <c r="A105">
        <v>203</v>
      </c>
      <c r="B105">
        <v>2936</v>
      </c>
      <c r="C105">
        <v>29</v>
      </c>
      <c r="D105">
        <v>15</v>
      </c>
      <c r="E105">
        <v>641</v>
      </c>
      <c r="F105">
        <v>217</v>
      </c>
      <c r="G105">
        <v>4041</v>
      </c>
    </row>
    <row r="106" spans="1:7" x14ac:dyDescent="0.25">
      <c r="A106">
        <v>200</v>
      </c>
      <c r="B106">
        <v>2943</v>
      </c>
      <c r="C106">
        <v>31</v>
      </c>
      <c r="D106">
        <v>14</v>
      </c>
      <c r="E106">
        <v>670</v>
      </c>
      <c r="F106">
        <v>211</v>
      </c>
      <c r="G106">
        <v>4069</v>
      </c>
    </row>
    <row r="107" spans="1:7" x14ac:dyDescent="0.25">
      <c r="A107">
        <v>203</v>
      </c>
      <c r="B107">
        <v>2938</v>
      </c>
      <c r="C107">
        <v>29</v>
      </c>
      <c r="D107">
        <v>14</v>
      </c>
      <c r="E107">
        <v>644</v>
      </c>
      <c r="F107">
        <v>206</v>
      </c>
      <c r="G107">
        <v>4034</v>
      </c>
    </row>
    <row r="108" spans="1:7" x14ac:dyDescent="0.25">
      <c r="A108">
        <v>210</v>
      </c>
      <c r="B108">
        <v>2944</v>
      </c>
      <c r="C108">
        <v>29</v>
      </c>
      <c r="D108">
        <v>15</v>
      </c>
      <c r="E108">
        <v>674</v>
      </c>
      <c r="F108">
        <v>191</v>
      </c>
      <c r="G108">
        <v>4063</v>
      </c>
    </row>
    <row r="109" spans="1:7" x14ac:dyDescent="0.25">
      <c r="A109">
        <v>209</v>
      </c>
      <c r="B109">
        <v>2941</v>
      </c>
      <c r="C109">
        <v>30</v>
      </c>
      <c r="D109">
        <v>14</v>
      </c>
      <c r="E109">
        <v>657</v>
      </c>
      <c r="F109">
        <v>212</v>
      </c>
      <c r="G109">
        <v>4063</v>
      </c>
    </row>
    <row r="110" spans="1:7" x14ac:dyDescent="0.25">
      <c r="A110">
        <v>201</v>
      </c>
      <c r="B110">
        <v>2951</v>
      </c>
      <c r="C110">
        <v>29</v>
      </c>
      <c r="D110">
        <v>15</v>
      </c>
      <c r="E110">
        <v>681</v>
      </c>
      <c r="F110">
        <v>208</v>
      </c>
      <c r="G110">
        <v>4085</v>
      </c>
    </row>
    <row r="111" spans="1:7" x14ac:dyDescent="0.25">
      <c r="A111">
        <v>192</v>
      </c>
      <c r="B111">
        <v>2943</v>
      </c>
      <c r="C111">
        <v>27</v>
      </c>
      <c r="D111">
        <v>18</v>
      </c>
      <c r="E111">
        <v>713</v>
      </c>
      <c r="F111">
        <v>210</v>
      </c>
      <c r="G111">
        <v>4103</v>
      </c>
    </row>
    <row r="112" spans="1:7" x14ac:dyDescent="0.25">
      <c r="A112">
        <v>203</v>
      </c>
      <c r="B112">
        <v>2967</v>
      </c>
      <c r="C112">
        <v>30</v>
      </c>
      <c r="D112">
        <v>13</v>
      </c>
      <c r="E112">
        <v>642</v>
      </c>
      <c r="F112">
        <v>218</v>
      </c>
      <c r="G112">
        <v>4073</v>
      </c>
    </row>
    <row r="113" spans="1:7" x14ac:dyDescent="0.25">
      <c r="A113">
        <v>203</v>
      </c>
      <c r="B113">
        <v>2962</v>
      </c>
      <c r="C113">
        <v>29</v>
      </c>
      <c r="D113">
        <v>14</v>
      </c>
      <c r="E113">
        <v>642</v>
      </c>
      <c r="F113">
        <v>205</v>
      </c>
      <c r="G113">
        <v>4055</v>
      </c>
    </row>
    <row r="114" spans="1:7" x14ac:dyDescent="0.25">
      <c r="A114">
        <v>206</v>
      </c>
      <c r="B114">
        <v>2958</v>
      </c>
      <c r="C114">
        <v>29</v>
      </c>
      <c r="D114">
        <v>14</v>
      </c>
      <c r="E114">
        <v>641</v>
      </c>
      <c r="F114">
        <v>214</v>
      </c>
      <c r="G114">
        <v>4062</v>
      </c>
    </row>
    <row r="115" spans="1:7" x14ac:dyDescent="0.25">
      <c r="A115">
        <v>198</v>
      </c>
      <c r="B115">
        <v>2954</v>
      </c>
      <c r="C115">
        <v>29</v>
      </c>
      <c r="D115">
        <v>13</v>
      </c>
      <c r="E115">
        <v>643</v>
      </c>
      <c r="F115">
        <v>209</v>
      </c>
      <c r="G115">
        <v>4046</v>
      </c>
    </row>
    <row r="116" spans="1:7" x14ac:dyDescent="0.25">
      <c r="A116">
        <v>208</v>
      </c>
      <c r="B116">
        <v>2968</v>
      </c>
      <c r="C116">
        <v>29</v>
      </c>
      <c r="D116">
        <v>14</v>
      </c>
      <c r="E116">
        <v>650</v>
      </c>
      <c r="F116">
        <v>201</v>
      </c>
      <c r="G116">
        <v>4070</v>
      </c>
    </row>
    <row r="117" spans="1:7" x14ac:dyDescent="0.25">
      <c r="A117">
        <v>199</v>
      </c>
      <c r="B117">
        <v>2973</v>
      </c>
      <c r="C117">
        <v>30</v>
      </c>
      <c r="D117">
        <v>13</v>
      </c>
      <c r="E117">
        <v>676</v>
      </c>
      <c r="F117">
        <v>203</v>
      </c>
      <c r="G117">
        <v>4094</v>
      </c>
    </row>
    <row r="118" spans="1:7" x14ac:dyDescent="0.25">
      <c r="A118">
        <v>184</v>
      </c>
      <c r="B118">
        <v>2959</v>
      </c>
      <c r="C118">
        <v>32</v>
      </c>
      <c r="D118">
        <v>12</v>
      </c>
      <c r="E118">
        <v>686</v>
      </c>
      <c r="F118">
        <v>215</v>
      </c>
      <c r="G118">
        <v>4088</v>
      </c>
    </row>
    <row r="119" spans="1:7" x14ac:dyDescent="0.25">
      <c r="A119">
        <v>201</v>
      </c>
      <c r="B119">
        <v>2978</v>
      </c>
      <c r="C119">
        <v>29</v>
      </c>
      <c r="D119">
        <v>16</v>
      </c>
      <c r="E119">
        <v>710</v>
      </c>
      <c r="F119">
        <v>221</v>
      </c>
      <c r="G119">
        <v>4155</v>
      </c>
    </row>
    <row r="120" spans="1:7" x14ac:dyDescent="0.25">
      <c r="A120">
        <v>190</v>
      </c>
      <c r="B120">
        <v>2975</v>
      </c>
      <c r="C120">
        <v>27</v>
      </c>
      <c r="D120">
        <v>17</v>
      </c>
      <c r="E120">
        <v>684</v>
      </c>
      <c r="F120">
        <v>208</v>
      </c>
      <c r="G120">
        <v>4101</v>
      </c>
    </row>
    <row r="121" spans="1:7" x14ac:dyDescent="0.25">
      <c r="A121">
        <v>195</v>
      </c>
      <c r="B121">
        <v>2975</v>
      </c>
      <c r="C121">
        <v>31</v>
      </c>
      <c r="D121">
        <v>14</v>
      </c>
      <c r="E121">
        <v>640</v>
      </c>
      <c r="F121">
        <v>220</v>
      </c>
      <c r="G121">
        <v>4075</v>
      </c>
    </row>
    <row r="122" spans="1:7" x14ac:dyDescent="0.25">
      <c r="A122">
        <v>216</v>
      </c>
      <c r="B122">
        <v>2991</v>
      </c>
      <c r="C122">
        <v>31</v>
      </c>
      <c r="D122">
        <v>14</v>
      </c>
      <c r="E122">
        <v>652</v>
      </c>
      <c r="F122">
        <v>211</v>
      </c>
      <c r="G122">
        <v>4115</v>
      </c>
    </row>
    <row r="123" spans="1:7" x14ac:dyDescent="0.25">
      <c r="A123">
        <v>212</v>
      </c>
      <c r="B123">
        <v>2972</v>
      </c>
      <c r="C123">
        <v>31</v>
      </c>
      <c r="D123">
        <v>16</v>
      </c>
      <c r="E123">
        <v>686</v>
      </c>
      <c r="F123">
        <v>218</v>
      </c>
      <c r="G123">
        <v>4135</v>
      </c>
    </row>
    <row r="124" spans="1:7" x14ac:dyDescent="0.25">
      <c r="A124">
        <v>232</v>
      </c>
      <c r="B124">
        <v>2975</v>
      </c>
      <c r="C124">
        <v>32</v>
      </c>
      <c r="D124">
        <v>15</v>
      </c>
      <c r="E124">
        <v>672</v>
      </c>
      <c r="F124">
        <v>199</v>
      </c>
      <c r="G124">
        <v>4125</v>
      </c>
    </row>
    <row r="125" spans="1:7" x14ac:dyDescent="0.25">
      <c r="A125">
        <v>210</v>
      </c>
      <c r="B125">
        <v>2972</v>
      </c>
      <c r="C125">
        <v>31</v>
      </c>
      <c r="D125">
        <v>14</v>
      </c>
      <c r="E125">
        <v>679</v>
      </c>
      <c r="F125">
        <v>213</v>
      </c>
      <c r="G125">
        <v>4119</v>
      </c>
    </row>
    <row r="126" spans="1:7" x14ac:dyDescent="0.25">
      <c r="A126">
        <v>209</v>
      </c>
      <c r="B126">
        <v>2982</v>
      </c>
      <c r="C126">
        <v>31</v>
      </c>
      <c r="D126">
        <v>15</v>
      </c>
      <c r="E126">
        <v>677</v>
      </c>
      <c r="F126">
        <v>193</v>
      </c>
      <c r="G126">
        <v>4107</v>
      </c>
    </row>
    <row r="127" spans="1:7" x14ac:dyDescent="0.25">
      <c r="A127">
        <v>199</v>
      </c>
      <c r="B127">
        <v>2977</v>
      </c>
      <c r="C127">
        <v>28</v>
      </c>
      <c r="D127">
        <v>16</v>
      </c>
      <c r="E127">
        <v>683</v>
      </c>
      <c r="F127">
        <v>214</v>
      </c>
      <c r="G127">
        <v>4117</v>
      </c>
    </row>
    <row r="128" spans="1:7" x14ac:dyDescent="0.25">
      <c r="A128">
        <v>198</v>
      </c>
      <c r="B128">
        <v>2973</v>
      </c>
      <c r="C128">
        <v>30</v>
      </c>
      <c r="D128">
        <v>13</v>
      </c>
      <c r="E128">
        <v>645</v>
      </c>
      <c r="F128">
        <v>217</v>
      </c>
      <c r="G128">
        <v>4076</v>
      </c>
    </row>
    <row r="129" spans="1:7" x14ac:dyDescent="0.25">
      <c r="A129">
        <v>214</v>
      </c>
      <c r="B129">
        <v>2969</v>
      </c>
      <c r="C129">
        <v>30</v>
      </c>
      <c r="D129">
        <v>19</v>
      </c>
      <c r="E129">
        <v>645</v>
      </c>
      <c r="F129">
        <v>217</v>
      </c>
      <c r="G129">
        <v>4094</v>
      </c>
    </row>
    <row r="130" spans="1:7" x14ac:dyDescent="0.25">
      <c r="A130">
        <v>220</v>
      </c>
      <c r="B130">
        <v>2969</v>
      </c>
      <c r="C130">
        <v>32</v>
      </c>
      <c r="D130">
        <v>44</v>
      </c>
      <c r="E130">
        <v>652</v>
      </c>
      <c r="F130">
        <v>216</v>
      </c>
      <c r="G130">
        <v>4133</v>
      </c>
    </row>
    <row r="131" spans="1:7" x14ac:dyDescent="0.25">
      <c r="A131">
        <v>197</v>
      </c>
      <c r="B131">
        <v>2974</v>
      </c>
      <c r="C131">
        <v>31</v>
      </c>
      <c r="D131">
        <v>13</v>
      </c>
      <c r="E131">
        <v>670</v>
      </c>
      <c r="F131">
        <v>192</v>
      </c>
      <c r="G131">
        <v>4077</v>
      </c>
    </row>
    <row r="132" spans="1:7" x14ac:dyDescent="0.25">
      <c r="A132">
        <v>209</v>
      </c>
      <c r="B132">
        <v>2978</v>
      </c>
      <c r="C132">
        <v>31</v>
      </c>
      <c r="D132">
        <v>14</v>
      </c>
      <c r="E132">
        <v>656</v>
      </c>
      <c r="F132">
        <v>225</v>
      </c>
      <c r="G132">
        <v>4113</v>
      </c>
    </row>
    <row r="133" spans="1:7" x14ac:dyDescent="0.25">
      <c r="A133">
        <v>218</v>
      </c>
      <c r="B133">
        <v>2986</v>
      </c>
      <c r="C133">
        <v>30</v>
      </c>
      <c r="D133">
        <v>13</v>
      </c>
      <c r="E133">
        <v>694</v>
      </c>
      <c r="F133">
        <v>221</v>
      </c>
      <c r="G133">
        <v>4162</v>
      </c>
    </row>
    <row r="134" spans="1:7" x14ac:dyDescent="0.25">
      <c r="A134">
        <v>189</v>
      </c>
      <c r="B134">
        <v>2986</v>
      </c>
      <c r="C134">
        <v>26</v>
      </c>
      <c r="D134">
        <v>19</v>
      </c>
      <c r="E134">
        <v>691</v>
      </c>
      <c r="F134">
        <v>213</v>
      </c>
      <c r="G134">
        <v>4124</v>
      </c>
    </row>
    <row r="135" spans="1:7" x14ac:dyDescent="0.25">
      <c r="A135">
        <v>223</v>
      </c>
      <c r="B135">
        <v>2982</v>
      </c>
      <c r="C135">
        <v>31</v>
      </c>
      <c r="D135">
        <v>14</v>
      </c>
      <c r="E135">
        <v>647</v>
      </c>
      <c r="F135">
        <v>212</v>
      </c>
      <c r="G135">
        <v>4109</v>
      </c>
    </row>
    <row r="136" spans="1:7" x14ac:dyDescent="0.25">
      <c r="A136">
        <v>220</v>
      </c>
      <c r="B136">
        <v>2990</v>
      </c>
      <c r="C136">
        <v>30</v>
      </c>
      <c r="D136">
        <v>14</v>
      </c>
      <c r="E136">
        <v>644</v>
      </c>
      <c r="F136">
        <v>209</v>
      </c>
      <c r="G136">
        <v>4107</v>
      </c>
    </row>
    <row r="137" spans="1:7" x14ac:dyDescent="0.25">
      <c r="A137">
        <v>218</v>
      </c>
      <c r="B137">
        <v>2983</v>
      </c>
      <c r="C137">
        <v>30</v>
      </c>
      <c r="D137">
        <v>14</v>
      </c>
      <c r="E137">
        <v>642</v>
      </c>
      <c r="F137">
        <v>217</v>
      </c>
      <c r="G137">
        <v>4104</v>
      </c>
    </row>
    <row r="138" spans="1:7" x14ac:dyDescent="0.25">
      <c r="A138">
        <v>223</v>
      </c>
      <c r="B138">
        <v>2986</v>
      </c>
      <c r="C138">
        <v>28</v>
      </c>
      <c r="D138">
        <v>12</v>
      </c>
      <c r="E138">
        <v>686</v>
      </c>
      <c r="F138">
        <v>207</v>
      </c>
      <c r="G138">
        <v>4142</v>
      </c>
    </row>
    <row r="139" spans="1:7" x14ac:dyDescent="0.25">
      <c r="A139">
        <v>202</v>
      </c>
      <c r="B139">
        <v>2971</v>
      </c>
      <c r="C139">
        <v>32</v>
      </c>
      <c r="D139">
        <v>12</v>
      </c>
      <c r="E139">
        <v>702</v>
      </c>
      <c r="F139">
        <v>205</v>
      </c>
      <c r="G139">
        <v>4124</v>
      </c>
    </row>
    <row r="140" spans="1:7" x14ac:dyDescent="0.25">
      <c r="A140">
        <v>192</v>
      </c>
      <c r="B140">
        <v>2989</v>
      </c>
      <c r="C140">
        <v>30</v>
      </c>
      <c r="D140">
        <v>15</v>
      </c>
      <c r="E140">
        <v>685</v>
      </c>
      <c r="F140">
        <v>221</v>
      </c>
      <c r="G140">
        <v>4132</v>
      </c>
    </row>
    <row r="141" spans="1:7" x14ac:dyDescent="0.25">
      <c r="A141">
        <v>204</v>
      </c>
      <c r="B141">
        <v>2969</v>
      </c>
      <c r="C141">
        <v>29</v>
      </c>
      <c r="D141">
        <v>16</v>
      </c>
      <c r="E141">
        <v>649</v>
      </c>
      <c r="F141">
        <v>217</v>
      </c>
      <c r="G141">
        <v>4084</v>
      </c>
    </row>
    <row r="142" spans="1:7" x14ac:dyDescent="0.25">
      <c r="A142">
        <v>227</v>
      </c>
      <c r="B142">
        <v>2974</v>
      </c>
      <c r="C142">
        <v>30</v>
      </c>
      <c r="D142">
        <v>14</v>
      </c>
      <c r="E142">
        <v>643</v>
      </c>
      <c r="F142">
        <v>239</v>
      </c>
      <c r="G142">
        <v>4127</v>
      </c>
    </row>
    <row r="143" spans="1:7" x14ac:dyDescent="0.25">
      <c r="A143">
        <v>231</v>
      </c>
      <c r="B143">
        <v>2994</v>
      </c>
      <c r="C143">
        <v>30</v>
      </c>
      <c r="D143">
        <v>15</v>
      </c>
      <c r="E143">
        <v>640</v>
      </c>
      <c r="F143">
        <v>210</v>
      </c>
      <c r="G143">
        <v>4120</v>
      </c>
    </row>
    <row r="144" spans="1:7" x14ac:dyDescent="0.25">
      <c r="A144">
        <v>206</v>
      </c>
      <c r="B144">
        <v>2976</v>
      </c>
      <c r="C144">
        <v>29</v>
      </c>
      <c r="D144">
        <v>14</v>
      </c>
      <c r="E144">
        <v>651</v>
      </c>
      <c r="F144">
        <v>228</v>
      </c>
      <c r="G144">
        <v>4104</v>
      </c>
    </row>
    <row r="145" spans="1:7" x14ac:dyDescent="0.25">
      <c r="A145">
        <v>216</v>
      </c>
      <c r="B145">
        <v>2988</v>
      </c>
      <c r="C145">
        <v>33</v>
      </c>
      <c r="D145">
        <v>16</v>
      </c>
      <c r="E145">
        <v>696</v>
      </c>
      <c r="F145">
        <v>206</v>
      </c>
      <c r="G145">
        <v>4155</v>
      </c>
    </row>
    <row r="146" spans="1:7" x14ac:dyDescent="0.25">
      <c r="A146">
        <v>199</v>
      </c>
      <c r="B146">
        <v>2971</v>
      </c>
      <c r="C146">
        <v>31</v>
      </c>
      <c r="D146">
        <v>13</v>
      </c>
      <c r="E146">
        <v>693</v>
      </c>
      <c r="F146">
        <v>209</v>
      </c>
      <c r="G146">
        <v>4116</v>
      </c>
    </row>
    <row r="147" spans="1:7" x14ac:dyDescent="0.25">
      <c r="A147">
        <v>212</v>
      </c>
      <c r="B147">
        <v>2979</v>
      </c>
      <c r="C147">
        <v>31</v>
      </c>
      <c r="D147">
        <v>14</v>
      </c>
      <c r="E147">
        <v>683</v>
      </c>
      <c r="F147">
        <v>218</v>
      </c>
      <c r="G147">
        <v>4137</v>
      </c>
    </row>
    <row r="148" spans="1:7" x14ac:dyDescent="0.25">
      <c r="A148">
        <v>212</v>
      </c>
      <c r="B148">
        <v>2995</v>
      </c>
      <c r="C148">
        <v>28</v>
      </c>
      <c r="D148">
        <v>17</v>
      </c>
      <c r="E148">
        <v>693</v>
      </c>
      <c r="F148">
        <v>224</v>
      </c>
      <c r="G148">
        <v>4169</v>
      </c>
    </row>
    <row r="149" spans="1:7" x14ac:dyDescent="0.25">
      <c r="A149">
        <v>224</v>
      </c>
      <c r="B149">
        <v>2969</v>
      </c>
      <c r="C149">
        <v>30</v>
      </c>
      <c r="D149">
        <v>14</v>
      </c>
      <c r="E149">
        <v>643</v>
      </c>
      <c r="F149">
        <v>218</v>
      </c>
      <c r="G149">
        <v>4098</v>
      </c>
    </row>
    <row r="150" spans="1:7" x14ac:dyDescent="0.25">
      <c r="A150">
        <v>223</v>
      </c>
      <c r="B150">
        <v>2988</v>
      </c>
      <c r="C150">
        <v>30</v>
      </c>
      <c r="D150">
        <v>16</v>
      </c>
      <c r="E150">
        <v>682</v>
      </c>
      <c r="F150">
        <v>218</v>
      </c>
      <c r="G150">
        <v>4157</v>
      </c>
    </row>
    <row r="151" spans="1:7" x14ac:dyDescent="0.25">
      <c r="A151">
        <v>226</v>
      </c>
      <c r="B151">
        <v>2976</v>
      </c>
      <c r="C151">
        <v>29</v>
      </c>
      <c r="D151">
        <v>15</v>
      </c>
      <c r="E151">
        <v>677</v>
      </c>
      <c r="F151">
        <v>219</v>
      </c>
      <c r="G151">
        <v>4142</v>
      </c>
    </row>
    <row r="152" spans="1:7" x14ac:dyDescent="0.25">
      <c r="A152">
        <v>204</v>
      </c>
      <c r="B152">
        <v>2985</v>
      </c>
      <c r="C152">
        <v>30</v>
      </c>
      <c r="D152">
        <v>16</v>
      </c>
      <c r="E152">
        <v>704</v>
      </c>
      <c r="F152">
        <v>236</v>
      </c>
      <c r="G152">
        <v>4175</v>
      </c>
    </row>
  </sheetData>
  <mergeCells count="3">
    <mergeCell ref="A2:G2"/>
    <mergeCell ref="A5:G5"/>
    <mergeCell ref="A1:G1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7" sqref="I7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18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>
        <f>AVERAGE(duali7hdj8[clone])</f>
        <v>202.88235294117646</v>
      </c>
      <c r="B3">
        <f>AVERAGE(duali7hdj8[build])</f>
        <v>3008.294117647059</v>
      </c>
      <c r="C3">
        <f>AVERAGE(duali7hdj8[package])</f>
        <v>29.705882352941178</v>
      </c>
      <c r="D3">
        <f>AVERAGE(duali7hdj8[packagetests])</f>
        <v>13.470588235294118</v>
      </c>
      <c r="E3">
        <f>AVERAGE(duali7hdj8[symbols])</f>
        <v>680.76470588235293</v>
      </c>
      <c r="F3">
        <f>AVERAGE(duali7hdj8[clobber])</f>
        <v>222.11764705882354</v>
      </c>
      <c r="G3">
        <f>AVERAGE(duali7hdj8[total])</f>
        <v>4157.2352941176468</v>
      </c>
    </row>
    <row r="4" spans="1:7" x14ac:dyDescent="0.25">
      <c r="A4" s="12" t="s">
        <v>9</v>
      </c>
      <c r="B4" s="12"/>
      <c r="C4" s="12"/>
      <c r="D4" s="12"/>
      <c r="E4" s="12"/>
      <c r="F4" s="12"/>
      <c r="G4" s="12"/>
    </row>
    <row r="5" spans="1:7" x14ac:dyDescent="0.25">
      <c r="A5">
        <f>STDEV(duali7hdj8[clone])</f>
        <v>21.765461036184153</v>
      </c>
      <c r="B5">
        <f>STDEV(duali7hdj8[build])</f>
        <v>20.102128947832721</v>
      </c>
      <c r="C5">
        <f>STDEV(duali7hdj8[package])</f>
        <v>0.91955871769785202</v>
      </c>
      <c r="D5">
        <f>STDEV(duali7hdj8[packagetests])</f>
        <v>1.280510008689093</v>
      </c>
      <c r="E5">
        <f>STDEV(duali7hdj8[symbols])</f>
        <v>27.112103873926646</v>
      </c>
      <c r="F5">
        <f>STDEV(duali7hdj8[clobber])</f>
        <v>10.288843186561213</v>
      </c>
      <c r="G5">
        <f>STDEV(duali7hdj8[total])</f>
        <v>29.499002974178435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124</v>
      </c>
      <c r="B7">
        <v>3037</v>
      </c>
      <c r="C7">
        <v>32</v>
      </c>
      <c r="D7">
        <v>15</v>
      </c>
      <c r="E7">
        <v>686</v>
      </c>
      <c r="F7">
        <v>246</v>
      </c>
      <c r="G7">
        <v>4140</v>
      </c>
    </row>
    <row r="8" spans="1:7" x14ac:dyDescent="0.25">
      <c r="A8">
        <v>221</v>
      </c>
      <c r="B8">
        <v>3060</v>
      </c>
      <c r="C8">
        <v>29</v>
      </c>
      <c r="D8">
        <v>14</v>
      </c>
      <c r="E8">
        <v>648</v>
      </c>
      <c r="F8">
        <v>207</v>
      </c>
      <c r="G8">
        <v>4179</v>
      </c>
    </row>
    <row r="9" spans="1:7" x14ac:dyDescent="0.25">
      <c r="A9">
        <v>208</v>
      </c>
      <c r="B9">
        <v>3028</v>
      </c>
      <c r="C9">
        <v>30</v>
      </c>
      <c r="D9">
        <v>14</v>
      </c>
      <c r="E9">
        <v>682</v>
      </c>
      <c r="F9">
        <v>221</v>
      </c>
      <c r="G9">
        <v>4183</v>
      </c>
    </row>
    <row r="10" spans="1:7" x14ac:dyDescent="0.25">
      <c r="A10">
        <v>217</v>
      </c>
      <c r="B10">
        <v>3029</v>
      </c>
      <c r="C10">
        <v>29</v>
      </c>
      <c r="D10">
        <v>13</v>
      </c>
      <c r="E10">
        <v>716</v>
      </c>
      <c r="F10">
        <v>210</v>
      </c>
      <c r="G10">
        <v>4214</v>
      </c>
    </row>
    <row r="11" spans="1:7" x14ac:dyDescent="0.25">
      <c r="A11">
        <v>205</v>
      </c>
      <c r="B11">
        <v>2990</v>
      </c>
      <c r="C11">
        <v>30</v>
      </c>
      <c r="D11">
        <v>15</v>
      </c>
      <c r="E11">
        <v>689</v>
      </c>
      <c r="F11">
        <v>215</v>
      </c>
      <c r="G11">
        <v>4144</v>
      </c>
    </row>
    <row r="12" spans="1:7" x14ac:dyDescent="0.25">
      <c r="A12">
        <v>208</v>
      </c>
      <c r="B12">
        <v>3011</v>
      </c>
      <c r="C12">
        <v>30</v>
      </c>
      <c r="D12">
        <v>14</v>
      </c>
      <c r="E12">
        <v>653</v>
      </c>
      <c r="F12">
        <v>217</v>
      </c>
      <c r="G12">
        <v>4133</v>
      </c>
    </row>
    <row r="13" spans="1:7" x14ac:dyDescent="0.25">
      <c r="A13">
        <v>205</v>
      </c>
      <c r="B13">
        <v>2998</v>
      </c>
      <c r="C13">
        <v>29</v>
      </c>
      <c r="D13">
        <v>16</v>
      </c>
      <c r="E13">
        <v>697</v>
      </c>
      <c r="F13">
        <v>228</v>
      </c>
      <c r="G13">
        <v>4173</v>
      </c>
    </row>
    <row r="14" spans="1:7" x14ac:dyDescent="0.25">
      <c r="A14">
        <v>211</v>
      </c>
      <c r="B14">
        <v>3001</v>
      </c>
      <c r="C14">
        <v>30</v>
      </c>
      <c r="D14">
        <v>14</v>
      </c>
      <c r="E14">
        <v>644</v>
      </c>
      <c r="F14">
        <v>216</v>
      </c>
      <c r="G14">
        <v>4116</v>
      </c>
    </row>
    <row r="15" spans="1:7" x14ac:dyDescent="0.25">
      <c r="A15">
        <v>212</v>
      </c>
      <c r="B15">
        <v>3013</v>
      </c>
      <c r="C15">
        <v>29</v>
      </c>
      <c r="D15">
        <v>13</v>
      </c>
      <c r="E15">
        <v>646</v>
      </c>
      <c r="F15">
        <v>225</v>
      </c>
      <c r="G15">
        <v>4138</v>
      </c>
    </row>
    <row r="16" spans="1:7" x14ac:dyDescent="0.25">
      <c r="A16">
        <v>219</v>
      </c>
      <c r="B16">
        <v>3003</v>
      </c>
      <c r="C16">
        <v>29</v>
      </c>
      <c r="D16">
        <v>13</v>
      </c>
      <c r="E16">
        <v>700</v>
      </c>
      <c r="F16">
        <v>234</v>
      </c>
      <c r="G16">
        <v>4198</v>
      </c>
    </row>
    <row r="17" spans="1:7" x14ac:dyDescent="0.25">
      <c r="A17">
        <v>196</v>
      </c>
      <c r="B17">
        <v>2986</v>
      </c>
      <c r="C17">
        <v>29</v>
      </c>
      <c r="D17">
        <v>12</v>
      </c>
      <c r="E17">
        <v>708</v>
      </c>
      <c r="F17">
        <v>215</v>
      </c>
      <c r="G17">
        <v>4146</v>
      </c>
    </row>
    <row r="18" spans="1:7" x14ac:dyDescent="0.25">
      <c r="A18">
        <v>213</v>
      </c>
      <c r="B18">
        <v>2985</v>
      </c>
      <c r="C18">
        <v>28</v>
      </c>
      <c r="D18">
        <v>11</v>
      </c>
      <c r="E18">
        <v>714</v>
      </c>
      <c r="F18">
        <v>218</v>
      </c>
      <c r="G18">
        <v>4169</v>
      </c>
    </row>
    <row r="19" spans="1:7" x14ac:dyDescent="0.25">
      <c r="A19">
        <v>199</v>
      </c>
      <c r="B19">
        <v>2993</v>
      </c>
      <c r="C19">
        <v>30</v>
      </c>
      <c r="D19">
        <v>13</v>
      </c>
      <c r="E19">
        <v>695</v>
      </c>
      <c r="F19">
        <v>233</v>
      </c>
      <c r="G19">
        <v>4163</v>
      </c>
    </row>
    <row r="20" spans="1:7" x14ac:dyDescent="0.25">
      <c r="A20">
        <v>194</v>
      </c>
      <c r="B20">
        <v>2993</v>
      </c>
      <c r="C20">
        <v>30</v>
      </c>
      <c r="D20">
        <v>14</v>
      </c>
      <c r="E20">
        <v>643</v>
      </c>
      <c r="F20">
        <v>225</v>
      </c>
      <c r="G20">
        <v>4099</v>
      </c>
    </row>
    <row r="21" spans="1:7" x14ac:dyDescent="0.25">
      <c r="A21">
        <v>208</v>
      </c>
      <c r="B21">
        <v>3009</v>
      </c>
      <c r="C21">
        <v>30</v>
      </c>
      <c r="D21">
        <v>12</v>
      </c>
      <c r="E21">
        <v>649</v>
      </c>
      <c r="F21">
        <v>235</v>
      </c>
      <c r="G21">
        <v>4143</v>
      </c>
    </row>
    <row r="22" spans="1:7" x14ac:dyDescent="0.25">
      <c r="A22">
        <v>198</v>
      </c>
      <c r="B22">
        <v>2999</v>
      </c>
      <c r="C22">
        <v>31</v>
      </c>
      <c r="D22">
        <v>12</v>
      </c>
      <c r="E22">
        <v>697</v>
      </c>
      <c r="F22">
        <v>216</v>
      </c>
      <c r="G22">
        <v>4153</v>
      </c>
    </row>
    <row r="23" spans="1:7" x14ac:dyDescent="0.25">
      <c r="A23">
        <v>211</v>
      </c>
      <c r="B23">
        <v>3006</v>
      </c>
      <c r="C23">
        <v>30</v>
      </c>
      <c r="D23">
        <v>14</v>
      </c>
      <c r="E23">
        <v>706</v>
      </c>
      <c r="F23">
        <v>215</v>
      </c>
      <c r="G23">
        <v>4182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22" sqref="L22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32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AVERAGE(Table18[clone])</f>
        <v>214.125</v>
      </c>
      <c r="B3" s="4">
        <f>AVERAGE(Table18[build])</f>
        <v>3271.125</v>
      </c>
      <c r="C3" s="4">
        <f>AVERAGE(Table18[package])</f>
        <v>28.25</v>
      </c>
      <c r="D3" s="4">
        <f>AVERAGE(Table18[packagetests])</f>
        <v>13.375</v>
      </c>
      <c r="E3" s="4">
        <f>AVERAGE(Table18[symbols])</f>
        <v>676.75</v>
      </c>
      <c r="F3" s="4">
        <f>AVERAGE(Table18[clobber])</f>
        <v>241.75</v>
      </c>
      <c r="G3" s="4">
        <f>AVERAGE(Table18[total])</f>
        <v>4445.375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STDEV(Table18[clone])</f>
        <v>13.378420790853562</v>
      </c>
      <c r="B5" s="4">
        <f>STDEV(Table18[build])</f>
        <v>168.50980259744111</v>
      </c>
      <c r="C5" s="4">
        <f>STDEV(Table18[package])</f>
        <v>0.88640526042791834</v>
      </c>
      <c r="D5" s="4">
        <f>STDEV(Table18[packagetests])</f>
        <v>0.91612538131290433</v>
      </c>
      <c r="E5" s="4">
        <f>STDEV(Table18[symbols])</f>
        <v>24.317835899955057</v>
      </c>
      <c r="F5" s="4">
        <f>STDEV(Table18[clobber])</f>
        <v>7.8876032934146556</v>
      </c>
      <c r="G5" s="4">
        <f>STDEV(Table18[total])</f>
        <v>179.97217046770632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209</v>
      </c>
      <c r="B7">
        <v>3305</v>
      </c>
      <c r="C7">
        <v>28</v>
      </c>
      <c r="D7">
        <v>13</v>
      </c>
      <c r="E7">
        <v>661</v>
      </c>
      <c r="F7">
        <v>245</v>
      </c>
      <c r="G7">
        <v>4461</v>
      </c>
    </row>
    <row r="8" spans="1:7" x14ac:dyDescent="0.25">
      <c r="A8">
        <v>226</v>
      </c>
      <c r="B8">
        <v>3496</v>
      </c>
      <c r="C8">
        <v>29</v>
      </c>
      <c r="D8">
        <v>13</v>
      </c>
      <c r="E8">
        <v>698</v>
      </c>
      <c r="F8">
        <v>245</v>
      </c>
      <c r="G8">
        <v>4707</v>
      </c>
    </row>
    <row r="9" spans="1:7" x14ac:dyDescent="0.25">
      <c r="A9">
        <v>190</v>
      </c>
      <c r="B9">
        <v>3510</v>
      </c>
      <c r="C9">
        <v>27</v>
      </c>
      <c r="D9">
        <v>13</v>
      </c>
      <c r="E9">
        <v>718</v>
      </c>
      <c r="F9">
        <v>249</v>
      </c>
      <c r="G9">
        <v>4707</v>
      </c>
    </row>
    <row r="10" spans="1:7" x14ac:dyDescent="0.25">
      <c r="A10">
        <v>227</v>
      </c>
      <c r="B10">
        <v>3323</v>
      </c>
      <c r="C10">
        <v>29</v>
      </c>
      <c r="D10">
        <v>13</v>
      </c>
      <c r="E10">
        <v>646</v>
      </c>
      <c r="F10">
        <v>227</v>
      </c>
      <c r="G10">
        <v>4465</v>
      </c>
    </row>
    <row r="11" spans="1:7" x14ac:dyDescent="0.25">
      <c r="A11">
        <v>210</v>
      </c>
      <c r="B11">
        <v>3164</v>
      </c>
      <c r="C11">
        <v>29</v>
      </c>
      <c r="D11">
        <v>14</v>
      </c>
      <c r="E11">
        <v>651</v>
      </c>
      <c r="F11">
        <v>248</v>
      </c>
      <c r="G11">
        <v>4316</v>
      </c>
    </row>
    <row r="12" spans="1:7" x14ac:dyDescent="0.25">
      <c r="A12">
        <v>231</v>
      </c>
      <c r="B12">
        <v>3108</v>
      </c>
      <c r="C12">
        <v>27</v>
      </c>
      <c r="D12">
        <v>15</v>
      </c>
      <c r="E12">
        <v>687</v>
      </c>
      <c r="F12">
        <v>248</v>
      </c>
      <c r="G12">
        <v>4316</v>
      </c>
    </row>
    <row r="13" spans="1:7" x14ac:dyDescent="0.25">
      <c r="A13">
        <v>211</v>
      </c>
      <c r="B13">
        <v>3060</v>
      </c>
      <c r="C13">
        <v>28</v>
      </c>
      <c r="D13">
        <v>14</v>
      </c>
      <c r="E13">
        <v>673</v>
      </c>
      <c r="F13">
        <v>236</v>
      </c>
      <c r="G13">
        <v>4222</v>
      </c>
    </row>
    <row r="14" spans="1:7" x14ac:dyDescent="0.25">
      <c r="A14">
        <v>209</v>
      </c>
      <c r="B14">
        <v>3203</v>
      </c>
      <c r="C14">
        <v>29</v>
      </c>
      <c r="D14">
        <v>12</v>
      </c>
      <c r="E14">
        <v>680</v>
      </c>
      <c r="F14">
        <v>236</v>
      </c>
      <c r="G14">
        <v>4369</v>
      </c>
    </row>
  </sheetData>
  <mergeCells count="3">
    <mergeCell ref="A1:G1"/>
    <mergeCell ref="A2:G2"/>
    <mergeCell ref="A4:G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5" sqref="B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29</v>
      </c>
      <c r="B1" s="11"/>
      <c r="C1" s="11"/>
      <c r="D1" s="11"/>
      <c r="E1" s="11"/>
      <c r="F1" s="11"/>
      <c r="G1" s="11"/>
    </row>
    <row r="3" spans="1:7" x14ac:dyDescent="0.25">
      <c r="A3">
        <f>AVERAGE(Table15[clone])</f>
        <v>174.66666666666666</v>
      </c>
      <c r="B3">
        <f>AVERAGE(Table15[build])</f>
        <v>4552.666666666667</v>
      </c>
      <c r="C3">
        <f>AVERAGE(Table15[package])</f>
        <v>40</v>
      </c>
      <c r="D3">
        <f>AVERAGE(Table15[packagetests])</f>
        <v>20.333333333333332</v>
      </c>
      <c r="E3">
        <f>AVERAGE(Table15[symbols])</f>
        <v>847.33333333333337</v>
      </c>
      <c r="F3">
        <f>AVERAGE(Table15[clobber])</f>
        <v>165.33333333333334</v>
      </c>
      <c r="G3">
        <f>AVERAGE(Table15[total])</f>
        <v>5800.333333333333</v>
      </c>
    </row>
    <row r="5" spans="1:7" x14ac:dyDescent="0.25">
      <c r="A5">
        <f>STDEV(Table15[clone])</f>
        <v>29.535289626704792</v>
      </c>
      <c r="B5">
        <f>STDEV(Table15[build])</f>
        <v>12.858201014657274</v>
      </c>
      <c r="C5">
        <f>STDEV(Table15[package])</f>
        <v>1</v>
      </c>
      <c r="D5">
        <f>STDEV(Table15[packagetests])</f>
        <v>0.57735026918962584</v>
      </c>
      <c r="E5">
        <f>STDEV(Table15[symbols])</f>
        <v>6.0277137733417083</v>
      </c>
      <c r="F5">
        <f>STDEV(Table15[clobber])</f>
        <v>12.701705922171765</v>
      </c>
      <c r="G5">
        <f>STDEV(Table15[total])</f>
        <v>29.501412395567321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146</v>
      </c>
      <c r="B7">
        <v>4562</v>
      </c>
      <c r="C7">
        <v>39</v>
      </c>
      <c r="D7">
        <v>20</v>
      </c>
      <c r="E7">
        <v>853</v>
      </c>
      <c r="F7">
        <v>180</v>
      </c>
      <c r="G7">
        <v>5800</v>
      </c>
    </row>
    <row r="8" spans="1:7" x14ac:dyDescent="0.25">
      <c r="A8">
        <v>173</v>
      </c>
      <c r="B8">
        <v>4538</v>
      </c>
      <c r="C8">
        <v>40</v>
      </c>
      <c r="D8">
        <v>21</v>
      </c>
      <c r="E8">
        <v>841</v>
      </c>
      <c r="F8">
        <v>158</v>
      </c>
      <c r="G8">
        <v>5771</v>
      </c>
    </row>
    <row r="9" spans="1:7" x14ac:dyDescent="0.25">
      <c r="A9">
        <v>205</v>
      </c>
      <c r="B9">
        <v>4558</v>
      </c>
      <c r="C9">
        <v>41</v>
      </c>
      <c r="D9">
        <v>20</v>
      </c>
      <c r="E9">
        <v>848</v>
      </c>
      <c r="F9">
        <v>158</v>
      </c>
      <c r="G9">
        <v>5830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C5"/>
    </sheetView>
  </sheetViews>
  <sheetFormatPr defaultRowHeight="15" x14ac:dyDescent="0.25"/>
  <cols>
    <col min="1" max="1" width="22.28515625" bestFit="1" customWidth="1"/>
    <col min="2" max="2" width="20.5703125" bestFit="1" customWidth="1"/>
    <col min="3" max="3" width="9.140625" customWidth="1"/>
    <col min="4" max="5" width="11.5703125" bestFit="1" customWidth="1"/>
    <col min="6" max="7" width="12.5703125" bestFit="1" customWidth="1"/>
  </cols>
  <sheetData>
    <row r="1" spans="1:7" x14ac:dyDescent="0.25">
      <c r="A1" t="s">
        <v>40</v>
      </c>
      <c r="B1" t="s">
        <v>42</v>
      </c>
      <c r="C1" t="s">
        <v>41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35</v>
      </c>
      <c r="B2" s="9">
        <f>('moz2-darwin10-data'!$A$22-'quad-i7-ssd-j12'!$B$3)/60</f>
        <v>113.06166666666667</v>
      </c>
      <c r="C2" s="8">
        <v>1599</v>
      </c>
      <c r="D2" s="8">
        <f>C2/$B2</f>
        <v>14.142724471895868</v>
      </c>
      <c r="E2" s="8">
        <f>($C2 * 0.95)/$B2</f>
        <v>13.435588248301075</v>
      </c>
      <c r="F2" s="8">
        <f>($C2 * 0.9)/$B2</f>
        <v>12.728452024706282</v>
      </c>
      <c r="G2" s="8">
        <f>($C2 * 0.75)/$B2</f>
        <v>10.607043353921901</v>
      </c>
    </row>
    <row r="3" spans="1:7" x14ac:dyDescent="0.25">
      <c r="A3" t="s">
        <v>47</v>
      </c>
      <c r="B3" s="9">
        <f>('moz2-darwin10-data'!$A$22-'dual-i7-ssd-j4'!$B$4)/60</f>
        <v>105.90203703703703</v>
      </c>
      <c r="C3" s="8">
        <v>1699</v>
      </c>
      <c r="D3" s="8">
        <f t="shared" ref="D3" si="0">C3/$B3</f>
        <v>16.043128607675509</v>
      </c>
      <c r="E3" s="8">
        <f t="shared" ref="E3:E5" si="1">($C3 * 0.95)/$B3</f>
        <v>15.240972177291733</v>
      </c>
      <c r="F3" s="8">
        <f t="shared" ref="F3:F5" si="2">($C3 * 0.9)/$B3</f>
        <v>14.438815746907958</v>
      </c>
      <c r="G3" s="8">
        <f t="shared" ref="G3:G5" si="3">($C3 * 0.75)/$B3</f>
        <v>12.032346455756631</v>
      </c>
    </row>
    <row r="4" spans="1:7" x14ac:dyDescent="0.25">
      <c r="A4" t="s">
        <v>48</v>
      </c>
      <c r="B4" s="9">
        <f>('moz2-darwin10-data'!$A$22-'dual-i7-hd-j4'!$B$4) / 60</f>
        <v>103.80362068965518</v>
      </c>
      <c r="C4" s="8">
        <v>1249</v>
      </c>
      <c r="D4" s="8">
        <f t="shared" ref="D4" si="4">C4/$B4</f>
        <v>12.032335593901614</v>
      </c>
      <c r="E4" s="8">
        <f t="shared" si="1"/>
        <v>11.430718814206534</v>
      </c>
      <c r="F4" s="8">
        <f t="shared" si="2"/>
        <v>10.829102034511454</v>
      </c>
      <c r="G4" s="8">
        <f t="shared" si="3"/>
        <v>9.0242516954262104</v>
      </c>
    </row>
    <row r="5" spans="1:7" x14ac:dyDescent="0.25">
      <c r="A5" t="s">
        <v>12</v>
      </c>
      <c r="B5" s="9">
        <f>('moz2-darwin10-data'!$A$22-'dual-i5-hd-j4'!$B$4) / 60</f>
        <v>92.945894308943082</v>
      </c>
      <c r="C5" s="8">
        <v>899</v>
      </c>
      <c r="D5" s="8">
        <f t="shared" ref="D5" si="5">C5/$B5</f>
        <v>9.6722938294811787</v>
      </c>
      <c r="E5" s="8">
        <f t="shared" si="1"/>
        <v>9.1886791380071191</v>
      </c>
      <c r="F5" s="8">
        <f t="shared" si="2"/>
        <v>8.7050644465330613</v>
      </c>
      <c r="G5" s="8">
        <f t="shared" si="3"/>
        <v>7.2542203721108844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selection sqref="A1:G6"/>
    </sheetView>
  </sheetViews>
  <sheetFormatPr defaultRowHeight="15" x14ac:dyDescent="0.25"/>
  <cols>
    <col min="1" max="3" width="12" bestFit="1" customWidth="1"/>
    <col min="4" max="4" width="14.7109375" bestFit="1" customWidth="1"/>
    <col min="5" max="7" width="12" bestFit="1" customWidth="1"/>
  </cols>
  <sheetData>
    <row r="1" spans="1:14" x14ac:dyDescent="0.25">
      <c r="A1" s="11" t="s">
        <v>12</v>
      </c>
      <c r="B1" s="11"/>
      <c r="C1" s="11"/>
      <c r="D1" s="11"/>
      <c r="E1" s="11"/>
      <c r="F1" s="11"/>
      <c r="G1" s="11"/>
    </row>
    <row r="2" spans="1:14" x14ac:dyDescent="0.25">
      <c r="A2" s="12" t="s">
        <v>0</v>
      </c>
      <c r="B2" s="12"/>
      <c r="C2" s="12"/>
      <c r="D2" s="12"/>
      <c r="E2" s="12"/>
      <c r="F2" s="12"/>
      <c r="G2" s="12"/>
    </row>
    <row r="3" spans="1:14" x14ac:dyDescent="0.25">
      <c r="A3" s="2" t="str">
        <f>duali5hdj4[[#Headers],[clone]]</f>
        <v>clone</v>
      </c>
      <c r="B3" s="2" t="str">
        <f>duali5hdj4[[#Headers],[build]]</f>
        <v>build</v>
      </c>
      <c r="C3" s="2" t="str">
        <f>duali5hdj4[[#Headers],[package]]</f>
        <v>package</v>
      </c>
      <c r="D3" s="2" t="str">
        <f>duali5hdj4[[#Headers],[packagetests]]</f>
        <v>packagetests</v>
      </c>
      <c r="E3" s="2" t="str">
        <f>duali5hdj4[[#Headers],[symbols]]</f>
        <v>symbols</v>
      </c>
      <c r="F3" s="2" t="str">
        <f>duali5hdj4[[#Headers],[clobber]]</f>
        <v>clobber</v>
      </c>
      <c r="G3" s="2" t="str">
        <f>duali5hdj4[[#Headers],[total]]</f>
        <v>total</v>
      </c>
    </row>
    <row r="4" spans="1:14" x14ac:dyDescent="0.25">
      <c r="A4">
        <f>AVERAGE(duali5hdj4[clone])</f>
        <v>174.40650406504065</v>
      </c>
      <c r="B4">
        <f>AVERAGE(duali5hdj4[build])</f>
        <v>3578.1463414634145</v>
      </c>
      <c r="C4">
        <f>AVERAGE(duali5hdj4[package])</f>
        <v>37.146341463414636</v>
      </c>
      <c r="D4">
        <f>AVERAGE(duali5hdj4[packagetests])</f>
        <v>18.886178861788618</v>
      </c>
      <c r="E4">
        <f>AVERAGE(duali5hdj4[symbols])</f>
        <v>795.63414634146341</v>
      </c>
      <c r="F4">
        <f>AVERAGE(duali5hdj4[clobber])</f>
        <v>146.5691056910569</v>
      </c>
      <c r="G4">
        <f>AVERAGE(duali5hdj4[total])</f>
        <v>4750.7886178861791</v>
      </c>
    </row>
    <row r="5" spans="1:14" x14ac:dyDescent="0.25">
      <c r="A5" s="12" t="s">
        <v>9</v>
      </c>
      <c r="B5" s="12"/>
      <c r="C5" s="12"/>
      <c r="D5" s="12"/>
      <c r="E5" s="12"/>
      <c r="F5" s="12"/>
      <c r="G5" s="12"/>
    </row>
    <row r="6" spans="1:14" x14ac:dyDescent="0.25">
      <c r="A6">
        <f>STDEV(duali5hdj4[clone])</f>
        <v>9.2575511034160876</v>
      </c>
      <c r="B6">
        <f>STDEV(duali5hdj4[build])</f>
        <v>46.680757949447496</v>
      </c>
      <c r="C6">
        <f>STDEV(duali5hdj4[package])</f>
        <v>1.2654483222232003</v>
      </c>
      <c r="D6">
        <f>STDEV(duali5hdj4[packagetests])</f>
        <v>4.8741594517607689</v>
      </c>
      <c r="E6">
        <f>STDEV(duali5hdj4[symbols])</f>
        <v>36.292813788227186</v>
      </c>
      <c r="F6">
        <f>STDEV(duali5hdj4[clobber])</f>
        <v>11.248374236490697</v>
      </c>
      <c r="G6">
        <f>STDEV(duali5hdj4[total])</f>
        <v>90.646064722708431</v>
      </c>
    </row>
    <row r="7" spans="1:14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14" x14ac:dyDescent="0.25">
      <c r="A8">
        <v>115</v>
      </c>
      <c r="B8">
        <v>3537</v>
      </c>
      <c r="C8">
        <v>37</v>
      </c>
      <c r="D8">
        <v>16</v>
      </c>
      <c r="E8">
        <v>754</v>
      </c>
      <c r="F8">
        <v>114</v>
      </c>
      <c r="G8">
        <v>4573</v>
      </c>
      <c r="N8">
        <f>4570-3200</f>
        <v>1370</v>
      </c>
    </row>
    <row r="9" spans="1:14" x14ac:dyDescent="0.25">
      <c r="A9">
        <v>159</v>
      </c>
      <c r="B9">
        <v>3580</v>
      </c>
      <c r="C9">
        <v>37</v>
      </c>
      <c r="D9">
        <v>17</v>
      </c>
      <c r="E9">
        <v>749</v>
      </c>
      <c r="F9">
        <v>130</v>
      </c>
      <c r="G9">
        <v>4672</v>
      </c>
      <c r="N9">
        <f>3600/N8</f>
        <v>2.6277372262773722</v>
      </c>
    </row>
    <row r="10" spans="1:14" x14ac:dyDescent="0.25">
      <c r="A10">
        <v>159</v>
      </c>
      <c r="B10">
        <v>3573</v>
      </c>
      <c r="C10">
        <v>35</v>
      </c>
      <c r="D10">
        <v>19</v>
      </c>
      <c r="E10">
        <v>784</v>
      </c>
      <c r="F10">
        <v>123</v>
      </c>
      <c r="G10">
        <v>4693</v>
      </c>
    </row>
    <row r="11" spans="1:14" x14ac:dyDescent="0.25">
      <c r="A11">
        <v>171</v>
      </c>
      <c r="B11">
        <v>3598</v>
      </c>
      <c r="C11">
        <v>36</v>
      </c>
      <c r="D11">
        <v>17</v>
      </c>
      <c r="E11">
        <v>756</v>
      </c>
      <c r="F11">
        <v>129</v>
      </c>
      <c r="G11">
        <v>4707</v>
      </c>
    </row>
    <row r="12" spans="1:14" x14ac:dyDescent="0.25">
      <c r="A12">
        <v>158</v>
      </c>
      <c r="B12">
        <v>3614</v>
      </c>
      <c r="C12">
        <v>37</v>
      </c>
      <c r="D12">
        <v>18</v>
      </c>
      <c r="E12">
        <v>750</v>
      </c>
      <c r="F12">
        <v>134</v>
      </c>
      <c r="G12">
        <v>4711</v>
      </c>
    </row>
    <row r="13" spans="1:14" x14ac:dyDescent="0.25">
      <c r="A13">
        <v>159</v>
      </c>
      <c r="B13">
        <v>3601</v>
      </c>
      <c r="C13">
        <v>37</v>
      </c>
      <c r="D13">
        <v>17</v>
      </c>
      <c r="E13">
        <v>761</v>
      </c>
      <c r="F13">
        <v>128</v>
      </c>
      <c r="G13">
        <v>4703</v>
      </c>
    </row>
    <row r="14" spans="1:14" x14ac:dyDescent="0.25">
      <c r="A14">
        <v>162</v>
      </c>
      <c r="B14">
        <v>3560</v>
      </c>
      <c r="C14">
        <v>38</v>
      </c>
      <c r="D14">
        <v>17</v>
      </c>
      <c r="E14">
        <v>752</v>
      </c>
      <c r="F14">
        <v>144</v>
      </c>
      <c r="G14">
        <v>4673</v>
      </c>
    </row>
    <row r="15" spans="1:14" x14ac:dyDescent="0.25">
      <c r="A15">
        <v>173</v>
      </c>
      <c r="B15">
        <v>3527</v>
      </c>
      <c r="C15">
        <v>37</v>
      </c>
      <c r="D15">
        <v>16</v>
      </c>
      <c r="E15">
        <v>759</v>
      </c>
      <c r="F15">
        <v>136</v>
      </c>
      <c r="G15">
        <v>4648</v>
      </c>
    </row>
    <row r="16" spans="1:14" x14ac:dyDescent="0.25">
      <c r="A16">
        <v>169</v>
      </c>
      <c r="B16">
        <v>3535</v>
      </c>
      <c r="C16">
        <v>36</v>
      </c>
      <c r="D16">
        <v>17</v>
      </c>
      <c r="E16">
        <v>758</v>
      </c>
      <c r="F16">
        <v>127</v>
      </c>
      <c r="G16">
        <v>4642</v>
      </c>
    </row>
    <row r="17" spans="1:7" x14ac:dyDescent="0.25">
      <c r="A17">
        <v>168</v>
      </c>
      <c r="B17">
        <v>3540</v>
      </c>
      <c r="C17">
        <v>38</v>
      </c>
      <c r="D17">
        <v>25</v>
      </c>
      <c r="E17">
        <v>746</v>
      </c>
      <c r="F17">
        <v>128</v>
      </c>
      <c r="G17">
        <v>4645</v>
      </c>
    </row>
    <row r="18" spans="1:7" x14ac:dyDescent="0.25">
      <c r="A18">
        <v>165</v>
      </c>
      <c r="B18">
        <v>3521</v>
      </c>
      <c r="C18">
        <v>37</v>
      </c>
      <c r="D18">
        <v>17</v>
      </c>
      <c r="E18">
        <v>757</v>
      </c>
      <c r="F18">
        <v>129</v>
      </c>
      <c r="G18">
        <v>4626</v>
      </c>
    </row>
    <row r="19" spans="1:7" x14ac:dyDescent="0.25">
      <c r="A19">
        <v>170</v>
      </c>
      <c r="B19">
        <v>3528</v>
      </c>
      <c r="C19">
        <v>37</v>
      </c>
      <c r="D19">
        <v>16</v>
      </c>
      <c r="E19">
        <v>765</v>
      </c>
      <c r="F19">
        <v>139</v>
      </c>
      <c r="G19">
        <v>4655</v>
      </c>
    </row>
    <row r="20" spans="1:7" x14ac:dyDescent="0.25">
      <c r="A20">
        <v>169</v>
      </c>
      <c r="B20">
        <v>3522</v>
      </c>
      <c r="C20">
        <v>34</v>
      </c>
      <c r="D20">
        <v>18</v>
      </c>
      <c r="E20">
        <v>768</v>
      </c>
      <c r="F20">
        <v>128</v>
      </c>
      <c r="G20">
        <v>4639</v>
      </c>
    </row>
    <row r="21" spans="1:7" x14ac:dyDescent="0.25">
      <c r="A21">
        <v>161</v>
      </c>
      <c r="B21">
        <v>3540</v>
      </c>
      <c r="C21">
        <v>38</v>
      </c>
      <c r="D21">
        <v>17</v>
      </c>
      <c r="E21">
        <v>756</v>
      </c>
      <c r="F21">
        <v>132</v>
      </c>
      <c r="G21">
        <v>4644</v>
      </c>
    </row>
    <row r="22" spans="1:7" x14ac:dyDescent="0.25">
      <c r="A22">
        <v>167</v>
      </c>
      <c r="B22">
        <v>3537</v>
      </c>
      <c r="C22">
        <v>37</v>
      </c>
      <c r="D22">
        <v>17</v>
      </c>
      <c r="E22">
        <v>752</v>
      </c>
      <c r="F22">
        <v>139</v>
      </c>
      <c r="G22">
        <v>4649</v>
      </c>
    </row>
    <row r="23" spans="1:7" x14ac:dyDescent="0.25">
      <c r="A23">
        <v>165</v>
      </c>
      <c r="B23">
        <v>3525</v>
      </c>
      <c r="C23">
        <v>35</v>
      </c>
      <c r="D23">
        <v>17</v>
      </c>
      <c r="E23">
        <v>763</v>
      </c>
      <c r="F23">
        <v>143</v>
      </c>
      <c r="G23">
        <v>4648</v>
      </c>
    </row>
    <row r="24" spans="1:7" x14ac:dyDescent="0.25">
      <c r="A24">
        <v>172</v>
      </c>
      <c r="B24">
        <v>3524</v>
      </c>
      <c r="C24">
        <v>37</v>
      </c>
      <c r="D24">
        <v>18</v>
      </c>
      <c r="E24">
        <v>756</v>
      </c>
      <c r="F24">
        <v>132</v>
      </c>
      <c r="G24">
        <v>4639</v>
      </c>
    </row>
    <row r="25" spans="1:7" x14ac:dyDescent="0.25">
      <c r="A25">
        <v>165</v>
      </c>
      <c r="B25">
        <v>3530</v>
      </c>
      <c r="C25">
        <v>37</v>
      </c>
      <c r="D25">
        <v>15</v>
      </c>
      <c r="E25">
        <v>758</v>
      </c>
      <c r="F25">
        <v>129</v>
      </c>
      <c r="G25">
        <v>4634</v>
      </c>
    </row>
    <row r="26" spans="1:7" x14ac:dyDescent="0.25">
      <c r="A26">
        <v>165</v>
      </c>
      <c r="B26">
        <v>3538</v>
      </c>
      <c r="C26">
        <v>36</v>
      </c>
      <c r="D26">
        <v>18</v>
      </c>
      <c r="E26">
        <v>763</v>
      </c>
      <c r="F26">
        <v>138</v>
      </c>
      <c r="G26">
        <v>4658</v>
      </c>
    </row>
    <row r="27" spans="1:7" x14ac:dyDescent="0.25">
      <c r="A27">
        <v>172</v>
      </c>
      <c r="B27">
        <v>3531</v>
      </c>
      <c r="C27">
        <v>36</v>
      </c>
      <c r="D27">
        <v>17</v>
      </c>
      <c r="E27">
        <v>759</v>
      </c>
      <c r="F27">
        <v>126</v>
      </c>
      <c r="G27">
        <v>4641</v>
      </c>
    </row>
    <row r="28" spans="1:7" x14ac:dyDescent="0.25">
      <c r="A28">
        <v>164</v>
      </c>
      <c r="B28">
        <v>3524</v>
      </c>
      <c r="C28">
        <v>37</v>
      </c>
      <c r="D28">
        <v>17</v>
      </c>
      <c r="E28">
        <v>763</v>
      </c>
      <c r="F28">
        <v>139</v>
      </c>
      <c r="G28">
        <v>4644</v>
      </c>
    </row>
    <row r="29" spans="1:7" x14ac:dyDescent="0.25">
      <c r="A29">
        <v>167</v>
      </c>
      <c r="B29">
        <v>3534</v>
      </c>
      <c r="C29">
        <v>37</v>
      </c>
      <c r="D29">
        <v>17</v>
      </c>
      <c r="E29">
        <v>765</v>
      </c>
      <c r="F29">
        <v>137</v>
      </c>
      <c r="G29">
        <v>4657</v>
      </c>
    </row>
    <row r="30" spans="1:7" x14ac:dyDescent="0.25">
      <c r="A30">
        <v>176</v>
      </c>
      <c r="B30">
        <v>3538</v>
      </c>
      <c r="C30">
        <v>37</v>
      </c>
      <c r="D30">
        <v>17</v>
      </c>
      <c r="E30">
        <v>765</v>
      </c>
      <c r="F30">
        <v>139</v>
      </c>
      <c r="G30">
        <v>4672</v>
      </c>
    </row>
    <row r="31" spans="1:7" x14ac:dyDescent="0.25">
      <c r="A31">
        <v>169</v>
      </c>
      <c r="B31">
        <v>3538</v>
      </c>
      <c r="C31">
        <v>36</v>
      </c>
      <c r="D31">
        <v>17</v>
      </c>
      <c r="E31">
        <v>768</v>
      </c>
      <c r="F31">
        <v>147</v>
      </c>
      <c r="G31">
        <v>4675</v>
      </c>
    </row>
    <row r="32" spans="1:7" x14ac:dyDescent="0.25">
      <c r="A32">
        <v>172</v>
      </c>
      <c r="B32">
        <v>3537</v>
      </c>
      <c r="C32">
        <v>37</v>
      </c>
      <c r="D32">
        <v>17</v>
      </c>
      <c r="E32">
        <v>763</v>
      </c>
      <c r="F32">
        <v>142</v>
      </c>
      <c r="G32">
        <v>4668</v>
      </c>
    </row>
    <row r="33" spans="1:7" x14ac:dyDescent="0.25">
      <c r="A33">
        <v>172</v>
      </c>
      <c r="B33">
        <v>3556</v>
      </c>
      <c r="C33">
        <v>37</v>
      </c>
      <c r="D33">
        <v>17</v>
      </c>
      <c r="E33">
        <v>763</v>
      </c>
      <c r="F33">
        <v>138</v>
      </c>
      <c r="G33">
        <v>4683</v>
      </c>
    </row>
    <row r="34" spans="1:7" x14ac:dyDescent="0.25">
      <c r="A34">
        <v>175</v>
      </c>
      <c r="B34">
        <v>3536</v>
      </c>
      <c r="C34">
        <v>37</v>
      </c>
      <c r="D34">
        <v>18</v>
      </c>
      <c r="E34">
        <v>767</v>
      </c>
      <c r="F34">
        <v>148</v>
      </c>
      <c r="G34">
        <v>4681</v>
      </c>
    </row>
    <row r="35" spans="1:7" x14ac:dyDescent="0.25">
      <c r="A35">
        <v>169</v>
      </c>
      <c r="B35">
        <v>3579</v>
      </c>
      <c r="C35">
        <v>35</v>
      </c>
      <c r="D35">
        <v>15</v>
      </c>
      <c r="E35">
        <v>752</v>
      </c>
      <c r="F35">
        <v>135</v>
      </c>
      <c r="G35">
        <v>4685</v>
      </c>
    </row>
    <row r="36" spans="1:7" x14ac:dyDescent="0.25">
      <c r="A36">
        <v>165</v>
      </c>
      <c r="B36">
        <v>3519</v>
      </c>
      <c r="C36">
        <v>37</v>
      </c>
      <c r="D36">
        <v>18</v>
      </c>
      <c r="E36">
        <v>763</v>
      </c>
      <c r="F36">
        <v>145</v>
      </c>
      <c r="G36">
        <v>4647</v>
      </c>
    </row>
    <row r="37" spans="1:7" x14ac:dyDescent="0.25">
      <c r="A37">
        <v>172</v>
      </c>
      <c r="B37">
        <v>3529</v>
      </c>
      <c r="C37">
        <v>37</v>
      </c>
      <c r="D37">
        <v>17</v>
      </c>
      <c r="E37">
        <v>791</v>
      </c>
      <c r="F37">
        <v>148</v>
      </c>
      <c r="G37">
        <v>4694</v>
      </c>
    </row>
    <row r="38" spans="1:7" x14ac:dyDescent="0.25">
      <c r="A38">
        <v>169</v>
      </c>
      <c r="B38">
        <v>3547</v>
      </c>
      <c r="C38">
        <v>37</v>
      </c>
      <c r="D38">
        <v>18</v>
      </c>
      <c r="E38">
        <v>775</v>
      </c>
      <c r="F38">
        <v>143</v>
      </c>
      <c r="G38">
        <v>4689</v>
      </c>
    </row>
    <row r="39" spans="1:7" x14ac:dyDescent="0.25">
      <c r="A39">
        <v>180</v>
      </c>
      <c r="B39">
        <v>3521</v>
      </c>
      <c r="C39">
        <v>38</v>
      </c>
      <c r="D39">
        <v>17</v>
      </c>
      <c r="E39">
        <v>772</v>
      </c>
      <c r="F39">
        <v>132</v>
      </c>
      <c r="G39">
        <v>4660</v>
      </c>
    </row>
    <row r="40" spans="1:7" x14ac:dyDescent="0.25">
      <c r="A40">
        <v>166</v>
      </c>
      <c r="B40">
        <v>3540</v>
      </c>
      <c r="C40">
        <v>36</v>
      </c>
      <c r="D40">
        <v>18</v>
      </c>
      <c r="E40">
        <v>758</v>
      </c>
      <c r="F40">
        <v>148</v>
      </c>
      <c r="G40">
        <v>4666</v>
      </c>
    </row>
    <row r="41" spans="1:7" x14ac:dyDescent="0.25">
      <c r="A41">
        <v>165</v>
      </c>
      <c r="B41">
        <v>3562</v>
      </c>
      <c r="C41">
        <v>36</v>
      </c>
      <c r="D41">
        <v>18</v>
      </c>
      <c r="E41">
        <v>768</v>
      </c>
      <c r="F41">
        <v>146</v>
      </c>
      <c r="G41">
        <v>4695</v>
      </c>
    </row>
    <row r="42" spans="1:7" x14ac:dyDescent="0.25">
      <c r="A42">
        <v>172</v>
      </c>
      <c r="B42">
        <v>3534</v>
      </c>
      <c r="C42">
        <v>37</v>
      </c>
      <c r="D42">
        <v>18</v>
      </c>
      <c r="E42">
        <v>763</v>
      </c>
      <c r="F42">
        <v>137</v>
      </c>
      <c r="G42">
        <v>4661</v>
      </c>
    </row>
    <row r="43" spans="1:7" x14ac:dyDescent="0.25">
      <c r="A43">
        <v>164</v>
      </c>
      <c r="B43">
        <v>3532</v>
      </c>
      <c r="C43">
        <v>36</v>
      </c>
      <c r="D43">
        <v>18</v>
      </c>
      <c r="E43">
        <v>773</v>
      </c>
      <c r="F43">
        <v>132</v>
      </c>
      <c r="G43">
        <v>4655</v>
      </c>
    </row>
    <row r="44" spans="1:7" x14ac:dyDescent="0.25">
      <c r="A44">
        <v>170</v>
      </c>
      <c r="B44">
        <v>3542</v>
      </c>
      <c r="C44">
        <v>36</v>
      </c>
      <c r="D44">
        <v>16</v>
      </c>
      <c r="E44">
        <v>777</v>
      </c>
      <c r="F44">
        <v>139</v>
      </c>
      <c r="G44">
        <v>4680</v>
      </c>
    </row>
    <row r="45" spans="1:7" x14ac:dyDescent="0.25">
      <c r="A45">
        <v>169</v>
      </c>
      <c r="B45">
        <v>3537</v>
      </c>
      <c r="C45">
        <v>36</v>
      </c>
      <c r="D45">
        <v>17</v>
      </c>
      <c r="E45">
        <v>765</v>
      </c>
      <c r="F45">
        <v>137</v>
      </c>
      <c r="G45">
        <v>4661</v>
      </c>
    </row>
    <row r="46" spans="1:7" x14ac:dyDescent="0.25">
      <c r="A46">
        <v>162</v>
      </c>
      <c r="B46">
        <v>3564</v>
      </c>
      <c r="C46">
        <v>36</v>
      </c>
      <c r="D46">
        <v>18</v>
      </c>
      <c r="E46">
        <v>767</v>
      </c>
      <c r="F46">
        <v>141</v>
      </c>
      <c r="G46">
        <v>4688</v>
      </c>
    </row>
    <row r="47" spans="1:7" x14ac:dyDescent="0.25">
      <c r="A47">
        <v>173</v>
      </c>
      <c r="B47">
        <v>3556</v>
      </c>
      <c r="C47">
        <v>35</v>
      </c>
      <c r="D47">
        <v>13</v>
      </c>
      <c r="E47">
        <v>775</v>
      </c>
      <c r="F47">
        <v>162</v>
      </c>
      <c r="G47">
        <v>4714</v>
      </c>
    </row>
    <row r="48" spans="1:7" x14ac:dyDescent="0.25">
      <c r="A48">
        <v>166</v>
      </c>
      <c r="B48">
        <v>3548</v>
      </c>
      <c r="C48">
        <v>36</v>
      </c>
      <c r="D48">
        <v>18</v>
      </c>
      <c r="E48">
        <v>765</v>
      </c>
      <c r="F48">
        <v>133</v>
      </c>
      <c r="G48">
        <v>4666</v>
      </c>
    </row>
    <row r="49" spans="1:7" x14ac:dyDescent="0.25">
      <c r="A49">
        <v>171</v>
      </c>
      <c r="B49">
        <v>3547</v>
      </c>
      <c r="C49">
        <v>36</v>
      </c>
      <c r="D49">
        <v>21</v>
      </c>
      <c r="E49">
        <v>759</v>
      </c>
      <c r="F49">
        <v>142</v>
      </c>
      <c r="G49">
        <v>4676</v>
      </c>
    </row>
    <row r="50" spans="1:7" x14ac:dyDescent="0.25">
      <c r="A50">
        <v>164</v>
      </c>
      <c r="B50">
        <v>3554</v>
      </c>
      <c r="C50">
        <v>37</v>
      </c>
      <c r="D50">
        <v>24</v>
      </c>
      <c r="E50">
        <v>772</v>
      </c>
      <c r="F50">
        <v>144</v>
      </c>
      <c r="G50">
        <v>4695</v>
      </c>
    </row>
    <row r="51" spans="1:7" x14ac:dyDescent="0.25">
      <c r="A51">
        <v>168</v>
      </c>
      <c r="B51">
        <v>3556</v>
      </c>
      <c r="C51">
        <v>37</v>
      </c>
      <c r="D51">
        <v>20</v>
      </c>
      <c r="E51">
        <v>748</v>
      </c>
      <c r="F51">
        <v>148</v>
      </c>
      <c r="G51">
        <v>4677</v>
      </c>
    </row>
    <row r="52" spans="1:7" x14ac:dyDescent="0.25">
      <c r="A52">
        <v>170</v>
      </c>
      <c r="B52">
        <v>3539</v>
      </c>
      <c r="C52">
        <v>37</v>
      </c>
      <c r="D52">
        <v>18</v>
      </c>
      <c r="E52">
        <v>780</v>
      </c>
      <c r="F52">
        <v>146</v>
      </c>
      <c r="G52">
        <v>4690</v>
      </c>
    </row>
    <row r="53" spans="1:7" x14ac:dyDescent="0.25">
      <c r="A53">
        <v>173</v>
      </c>
      <c r="B53">
        <v>3548</v>
      </c>
      <c r="C53">
        <v>38</v>
      </c>
      <c r="D53">
        <v>36</v>
      </c>
      <c r="E53">
        <v>758</v>
      </c>
      <c r="F53">
        <v>150</v>
      </c>
      <c r="G53">
        <v>4703</v>
      </c>
    </row>
    <row r="54" spans="1:7" x14ac:dyDescent="0.25">
      <c r="A54">
        <v>175</v>
      </c>
      <c r="B54">
        <v>3558</v>
      </c>
      <c r="C54">
        <v>38</v>
      </c>
      <c r="D54">
        <v>37</v>
      </c>
      <c r="E54">
        <v>759</v>
      </c>
      <c r="F54">
        <v>150</v>
      </c>
      <c r="G54">
        <v>4717</v>
      </c>
    </row>
    <row r="55" spans="1:7" x14ac:dyDescent="0.25">
      <c r="A55">
        <v>170</v>
      </c>
      <c r="B55">
        <v>3553</v>
      </c>
      <c r="C55">
        <v>36</v>
      </c>
      <c r="D55">
        <v>19</v>
      </c>
      <c r="E55">
        <v>772</v>
      </c>
      <c r="F55">
        <v>137</v>
      </c>
      <c r="G55">
        <v>4687</v>
      </c>
    </row>
    <row r="56" spans="1:7" x14ac:dyDescent="0.25">
      <c r="A56">
        <v>183</v>
      </c>
      <c r="B56">
        <v>3558</v>
      </c>
      <c r="C56">
        <v>36</v>
      </c>
      <c r="D56">
        <v>16</v>
      </c>
      <c r="E56">
        <v>749</v>
      </c>
      <c r="F56">
        <v>153</v>
      </c>
      <c r="G56">
        <v>4695</v>
      </c>
    </row>
    <row r="57" spans="1:7" x14ac:dyDescent="0.25">
      <c r="A57">
        <v>180</v>
      </c>
      <c r="B57">
        <v>3533</v>
      </c>
      <c r="C57">
        <v>35</v>
      </c>
      <c r="D57">
        <v>20</v>
      </c>
      <c r="E57">
        <v>803</v>
      </c>
      <c r="F57">
        <v>139</v>
      </c>
      <c r="G57">
        <v>4710</v>
      </c>
    </row>
    <row r="58" spans="1:7" x14ac:dyDescent="0.25">
      <c r="A58">
        <v>172</v>
      </c>
      <c r="B58">
        <v>3558</v>
      </c>
      <c r="C58">
        <v>34</v>
      </c>
      <c r="D58">
        <v>38</v>
      </c>
      <c r="E58">
        <v>754</v>
      </c>
      <c r="F58">
        <v>152</v>
      </c>
      <c r="G58">
        <v>4708</v>
      </c>
    </row>
    <row r="59" spans="1:7" x14ac:dyDescent="0.25">
      <c r="A59">
        <v>173</v>
      </c>
      <c r="B59">
        <v>3544</v>
      </c>
      <c r="C59">
        <v>36</v>
      </c>
      <c r="D59">
        <v>21</v>
      </c>
      <c r="E59">
        <v>773</v>
      </c>
      <c r="F59">
        <v>141</v>
      </c>
      <c r="G59">
        <v>4688</v>
      </c>
    </row>
    <row r="60" spans="1:7" x14ac:dyDescent="0.25">
      <c r="A60">
        <v>176</v>
      </c>
      <c r="B60">
        <v>3571</v>
      </c>
      <c r="C60">
        <v>36</v>
      </c>
      <c r="D60">
        <v>14</v>
      </c>
      <c r="E60">
        <v>791</v>
      </c>
      <c r="F60">
        <v>142</v>
      </c>
      <c r="G60">
        <v>4730</v>
      </c>
    </row>
    <row r="61" spans="1:7" x14ac:dyDescent="0.25">
      <c r="A61">
        <v>172</v>
      </c>
      <c r="B61">
        <v>3540</v>
      </c>
      <c r="C61">
        <v>38</v>
      </c>
      <c r="D61">
        <v>17</v>
      </c>
      <c r="E61">
        <v>790</v>
      </c>
      <c r="F61">
        <v>140</v>
      </c>
      <c r="G61">
        <v>4697</v>
      </c>
    </row>
    <row r="62" spans="1:7" x14ac:dyDescent="0.25">
      <c r="A62">
        <v>177</v>
      </c>
      <c r="B62">
        <v>3556</v>
      </c>
      <c r="C62">
        <v>38</v>
      </c>
      <c r="D62">
        <v>39</v>
      </c>
      <c r="E62">
        <v>756</v>
      </c>
      <c r="F62">
        <v>156</v>
      </c>
      <c r="G62">
        <v>4722</v>
      </c>
    </row>
    <row r="63" spans="1:7" x14ac:dyDescent="0.25">
      <c r="A63">
        <v>174</v>
      </c>
      <c r="B63">
        <v>3535</v>
      </c>
      <c r="C63">
        <v>37</v>
      </c>
      <c r="D63">
        <v>17</v>
      </c>
      <c r="E63">
        <v>760</v>
      </c>
      <c r="F63">
        <v>146</v>
      </c>
      <c r="G63">
        <v>4669</v>
      </c>
    </row>
    <row r="64" spans="1:7" x14ac:dyDescent="0.25">
      <c r="A64">
        <v>180</v>
      </c>
      <c r="B64">
        <v>3579</v>
      </c>
      <c r="C64">
        <v>36</v>
      </c>
      <c r="D64">
        <v>17</v>
      </c>
      <c r="E64">
        <v>787</v>
      </c>
      <c r="F64">
        <v>135</v>
      </c>
      <c r="G64">
        <v>4734</v>
      </c>
    </row>
    <row r="65" spans="1:7" x14ac:dyDescent="0.25">
      <c r="A65">
        <v>178</v>
      </c>
      <c r="B65">
        <v>3575</v>
      </c>
      <c r="C65">
        <v>37</v>
      </c>
      <c r="D65">
        <v>16</v>
      </c>
      <c r="E65">
        <v>743</v>
      </c>
      <c r="F65">
        <v>150</v>
      </c>
      <c r="G65">
        <v>4699</v>
      </c>
    </row>
    <row r="66" spans="1:7" x14ac:dyDescent="0.25">
      <c r="A66">
        <v>176</v>
      </c>
      <c r="B66">
        <v>3567</v>
      </c>
      <c r="C66">
        <v>36</v>
      </c>
      <c r="D66">
        <v>19</v>
      </c>
      <c r="E66">
        <v>779</v>
      </c>
      <c r="F66">
        <v>156</v>
      </c>
      <c r="G66">
        <v>4733</v>
      </c>
    </row>
    <row r="67" spans="1:7" x14ac:dyDescent="0.25">
      <c r="A67">
        <v>178</v>
      </c>
      <c r="B67">
        <v>3563</v>
      </c>
      <c r="C67">
        <v>37</v>
      </c>
      <c r="D67">
        <v>18</v>
      </c>
      <c r="E67">
        <v>787</v>
      </c>
      <c r="F67">
        <v>150</v>
      </c>
      <c r="G67">
        <v>4733</v>
      </c>
    </row>
    <row r="68" spans="1:7" x14ac:dyDescent="0.25">
      <c r="A68">
        <v>175</v>
      </c>
      <c r="B68">
        <v>3586</v>
      </c>
      <c r="C68">
        <v>36</v>
      </c>
      <c r="D68">
        <v>17</v>
      </c>
      <c r="E68">
        <v>741</v>
      </c>
      <c r="F68">
        <v>143</v>
      </c>
      <c r="G68">
        <v>4698</v>
      </c>
    </row>
    <row r="69" spans="1:7" x14ac:dyDescent="0.25">
      <c r="A69">
        <v>175</v>
      </c>
      <c r="B69">
        <v>3569</v>
      </c>
      <c r="C69">
        <v>37</v>
      </c>
      <c r="D69">
        <v>18</v>
      </c>
      <c r="E69">
        <v>782</v>
      </c>
      <c r="F69">
        <v>138</v>
      </c>
      <c r="G69">
        <v>4719</v>
      </c>
    </row>
    <row r="70" spans="1:7" x14ac:dyDescent="0.25">
      <c r="A70">
        <v>175</v>
      </c>
      <c r="B70">
        <v>3554</v>
      </c>
      <c r="C70">
        <v>36</v>
      </c>
      <c r="D70">
        <v>17</v>
      </c>
      <c r="E70">
        <v>779</v>
      </c>
      <c r="F70">
        <v>143</v>
      </c>
      <c r="G70">
        <v>4704</v>
      </c>
    </row>
    <row r="71" spans="1:7" x14ac:dyDescent="0.25">
      <c r="A71">
        <v>189</v>
      </c>
      <c r="B71">
        <v>3550</v>
      </c>
      <c r="C71">
        <v>38</v>
      </c>
      <c r="D71">
        <v>37</v>
      </c>
      <c r="E71">
        <v>778</v>
      </c>
      <c r="F71">
        <v>155</v>
      </c>
      <c r="G71">
        <v>4747</v>
      </c>
    </row>
    <row r="72" spans="1:7" x14ac:dyDescent="0.25">
      <c r="A72">
        <v>177</v>
      </c>
      <c r="B72">
        <v>3573</v>
      </c>
      <c r="C72">
        <v>35</v>
      </c>
      <c r="D72">
        <v>19</v>
      </c>
      <c r="E72">
        <v>785</v>
      </c>
      <c r="F72">
        <v>138</v>
      </c>
      <c r="G72">
        <v>4727</v>
      </c>
    </row>
    <row r="73" spans="1:7" x14ac:dyDescent="0.25">
      <c r="A73">
        <v>182</v>
      </c>
      <c r="B73">
        <v>3546</v>
      </c>
      <c r="C73">
        <v>39</v>
      </c>
      <c r="D73">
        <v>20</v>
      </c>
      <c r="E73">
        <v>845</v>
      </c>
      <c r="F73">
        <v>138</v>
      </c>
      <c r="G73">
        <v>4770</v>
      </c>
    </row>
    <row r="74" spans="1:7" x14ac:dyDescent="0.25">
      <c r="A74">
        <v>182</v>
      </c>
      <c r="B74">
        <v>3564</v>
      </c>
      <c r="C74">
        <v>35</v>
      </c>
      <c r="D74">
        <v>19</v>
      </c>
      <c r="E74">
        <v>794</v>
      </c>
      <c r="F74">
        <v>154</v>
      </c>
      <c r="G74">
        <v>4748</v>
      </c>
    </row>
    <row r="75" spans="1:7" x14ac:dyDescent="0.25">
      <c r="A75">
        <v>177</v>
      </c>
      <c r="B75">
        <v>3542</v>
      </c>
      <c r="C75">
        <v>36</v>
      </c>
      <c r="D75">
        <v>44</v>
      </c>
      <c r="E75">
        <v>771</v>
      </c>
      <c r="F75">
        <v>145</v>
      </c>
      <c r="G75">
        <v>4715</v>
      </c>
    </row>
    <row r="76" spans="1:7" x14ac:dyDescent="0.25">
      <c r="A76">
        <v>178</v>
      </c>
      <c r="B76">
        <v>3551</v>
      </c>
      <c r="C76">
        <v>36</v>
      </c>
      <c r="D76">
        <v>19</v>
      </c>
      <c r="E76">
        <v>812</v>
      </c>
      <c r="F76">
        <v>141</v>
      </c>
      <c r="G76">
        <v>4737</v>
      </c>
    </row>
    <row r="77" spans="1:7" x14ac:dyDescent="0.25">
      <c r="A77">
        <v>169</v>
      </c>
      <c r="B77">
        <v>3566</v>
      </c>
      <c r="C77">
        <v>36</v>
      </c>
      <c r="D77">
        <v>18</v>
      </c>
      <c r="E77">
        <v>833</v>
      </c>
      <c r="F77">
        <v>142</v>
      </c>
      <c r="G77">
        <v>4764</v>
      </c>
    </row>
    <row r="78" spans="1:7" x14ac:dyDescent="0.25">
      <c r="A78">
        <v>171</v>
      </c>
      <c r="B78">
        <v>3561</v>
      </c>
      <c r="C78">
        <v>36</v>
      </c>
      <c r="D78">
        <v>17</v>
      </c>
      <c r="E78">
        <v>824</v>
      </c>
      <c r="F78">
        <v>164</v>
      </c>
      <c r="G78">
        <v>4773</v>
      </c>
    </row>
    <row r="79" spans="1:7" x14ac:dyDescent="0.25">
      <c r="A79">
        <v>170</v>
      </c>
      <c r="B79">
        <v>3557</v>
      </c>
      <c r="C79">
        <v>36</v>
      </c>
      <c r="D79">
        <v>17</v>
      </c>
      <c r="E79">
        <v>824</v>
      </c>
      <c r="F79">
        <v>154</v>
      </c>
      <c r="G79">
        <v>4758</v>
      </c>
    </row>
    <row r="80" spans="1:7" x14ac:dyDescent="0.25">
      <c r="A80">
        <v>171</v>
      </c>
      <c r="B80">
        <v>3572</v>
      </c>
      <c r="C80">
        <v>38</v>
      </c>
      <c r="D80">
        <v>18</v>
      </c>
      <c r="E80">
        <v>825</v>
      </c>
      <c r="F80">
        <v>152</v>
      </c>
      <c r="G80">
        <v>4776</v>
      </c>
    </row>
    <row r="81" spans="1:7" x14ac:dyDescent="0.25">
      <c r="A81">
        <v>172</v>
      </c>
      <c r="B81">
        <v>3556</v>
      </c>
      <c r="C81">
        <v>37</v>
      </c>
      <c r="D81">
        <v>19</v>
      </c>
      <c r="E81">
        <v>802</v>
      </c>
      <c r="F81">
        <v>144</v>
      </c>
      <c r="G81">
        <v>4730</v>
      </c>
    </row>
    <row r="82" spans="1:7" x14ac:dyDescent="0.25">
      <c r="A82">
        <v>173</v>
      </c>
      <c r="B82">
        <v>3565</v>
      </c>
      <c r="C82">
        <v>37</v>
      </c>
      <c r="D82">
        <v>17</v>
      </c>
      <c r="E82">
        <v>793</v>
      </c>
      <c r="F82">
        <v>150</v>
      </c>
      <c r="G82">
        <v>4735</v>
      </c>
    </row>
    <row r="83" spans="1:7" x14ac:dyDescent="0.25">
      <c r="A83">
        <v>175</v>
      </c>
      <c r="B83">
        <v>3566</v>
      </c>
      <c r="C83">
        <v>36</v>
      </c>
      <c r="D83">
        <v>17</v>
      </c>
      <c r="E83">
        <v>822</v>
      </c>
      <c r="F83">
        <v>146</v>
      </c>
      <c r="G83">
        <v>4762</v>
      </c>
    </row>
    <row r="84" spans="1:7" x14ac:dyDescent="0.25">
      <c r="A84">
        <v>182</v>
      </c>
      <c r="B84">
        <v>3544</v>
      </c>
      <c r="C84">
        <v>38</v>
      </c>
      <c r="D84">
        <v>27</v>
      </c>
      <c r="E84">
        <v>823</v>
      </c>
      <c r="F84">
        <v>149</v>
      </c>
      <c r="G84">
        <v>4763</v>
      </c>
    </row>
    <row r="85" spans="1:7" x14ac:dyDescent="0.25">
      <c r="A85">
        <v>175</v>
      </c>
      <c r="B85">
        <v>3551</v>
      </c>
      <c r="C85">
        <v>37</v>
      </c>
      <c r="D85">
        <v>15</v>
      </c>
      <c r="E85">
        <v>826</v>
      </c>
      <c r="F85">
        <v>162</v>
      </c>
      <c r="G85">
        <v>4766</v>
      </c>
    </row>
    <row r="86" spans="1:7" x14ac:dyDescent="0.25">
      <c r="A86">
        <v>178</v>
      </c>
      <c r="B86">
        <v>3587</v>
      </c>
      <c r="C86">
        <v>35</v>
      </c>
      <c r="D86">
        <v>15</v>
      </c>
      <c r="E86">
        <v>783</v>
      </c>
      <c r="F86">
        <v>141</v>
      </c>
      <c r="G86">
        <v>4739</v>
      </c>
    </row>
    <row r="87" spans="1:7" x14ac:dyDescent="0.25">
      <c r="A87">
        <v>175</v>
      </c>
      <c r="B87">
        <v>3573</v>
      </c>
      <c r="C87">
        <v>38</v>
      </c>
      <c r="D87">
        <v>19</v>
      </c>
      <c r="E87">
        <v>829</v>
      </c>
      <c r="F87">
        <v>174</v>
      </c>
      <c r="G87">
        <v>4808</v>
      </c>
    </row>
    <row r="88" spans="1:7" x14ac:dyDescent="0.25">
      <c r="A88">
        <v>183</v>
      </c>
      <c r="B88">
        <v>3559</v>
      </c>
      <c r="C88">
        <v>37</v>
      </c>
      <c r="D88">
        <v>16</v>
      </c>
      <c r="E88">
        <v>803</v>
      </c>
      <c r="F88">
        <v>146</v>
      </c>
      <c r="G88">
        <v>4744</v>
      </c>
    </row>
    <row r="89" spans="1:7" x14ac:dyDescent="0.25">
      <c r="A89">
        <v>184</v>
      </c>
      <c r="B89">
        <v>3581</v>
      </c>
      <c r="C89">
        <v>38</v>
      </c>
      <c r="D89">
        <v>19</v>
      </c>
      <c r="E89">
        <v>826</v>
      </c>
      <c r="F89">
        <v>148</v>
      </c>
      <c r="G89">
        <v>4796</v>
      </c>
    </row>
    <row r="90" spans="1:7" x14ac:dyDescent="0.25">
      <c r="A90">
        <v>185</v>
      </c>
      <c r="B90">
        <v>3570</v>
      </c>
      <c r="C90">
        <v>36</v>
      </c>
      <c r="D90">
        <v>17</v>
      </c>
      <c r="E90">
        <v>824</v>
      </c>
      <c r="F90">
        <v>146</v>
      </c>
      <c r="G90">
        <v>4778</v>
      </c>
    </row>
    <row r="91" spans="1:7" x14ac:dyDescent="0.25">
      <c r="A91">
        <v>186</v>
      </c>
      <c r="B91">
        <v>3574</v>
      </c>
      <c r="C91">
        <v>38</v>
      </c>
      <c r="D91">
        <v>18</v>
      </c>
      <c r="E91">
        <v>830</v>
      </c>
      <c r="F91">
        <v>144</v>
      </c>
      <c r="G91">
        <v>4790</v>
      </c>
    </row>
    <row r="92" spans="1:7" x14ac:dyDescent="0.25">
      <c r="A92">
        <v>184</v>
      </c>
      <c r="B92">
        <v>3581</v>
      </c>
      <c r="C92">
        <v>40</v>
      </c>
      <c r="D92">
        <v>16</v>
      </c>
      <c r="E92">
        <v>846</v>
      </c>
      <c r="F92">
        <v>148</v>
      </c>
      <c r="G92">
        <v>4815</v>
      </c>
    </row>
    <row r="93" spans="1:7" x14ac:dyDescent="0.25">
      <c r="A93">
        <v>178</v>
      </c>
      <c r="B93">
        <v>3578</v>
      </c>
      <c r="C93">
        <v>40</v>
      </c>
      <c r="D93">
        <v>19</v>
      </c>
      <c r="E93">
        <v>823</v>
      </c>
      <c r="F93">
        <v>161</v>
      </c>
      <c r="G93">
        <v>4799</v>
      </c>
    </row>
    <row r="94" spans="1:7" x14ac:dyDescent="0.25">
      <c r="A94">
        <v>175</v>
      </c>
      <c r="B94">
        <v>3585</v>
      </c>
      <c r="C94">
        <v>39</v>
      </c>
      <c r="D94">
        <v>18</v>
      </c>
      <c r="E94">
        <v>827</v>
      </c>
      <c r="F94">
        <v>153</v>
      </c>
      <c r="G94">
        <v>4797</v>
      </c>
    </row>
    <row r="95" spans="1:7" x14ac:dyDescent="0.25">
      <c r="A95">
        <v>182</v>
      </c>
      <c r="B95">
        <v>3586</v>
      </c>
      <c r="C95">
        <v>39</v>
      </c>
      <c r="D95">
        <v>18</v>
      </c>
      <c r="E95">
        <v>826</v>
      </c>
      <c r="F95">
        <v>156</v>
      </c>
      <c r="G95">
        <v>4807</v>
      </c>
    </row>
    <row r="96" spans="1:7" x14ac:dyDescent="0.25">
      <c r="A96">
        <v>181</v>
      </c>
      <c r="B96">
        <v>3584</v>
      </c>
      <c r="C96">
        <v>38</v>
      </c>
      <c r="D96">
        <v>20</v>
      </c>
      <c r="E96">
        <v>822</v>
      </c>
      <c r="F96">
        <v>152</v>
      </c>
      <c r="G96">
        <v>4797</v>
      </c>
    </row>
    <row r="97" spans="1:7" x14ac:dyDescent="0.25">
      <c r="A97">
        <v>180</v>
      </c>
      <c r="B97">
        <v>3595</v>
      </c>
      <c r="C97">
        <v>39</v>
      </c>
      <c r="D97">
        <v>18</v>
      </c>
      <c r="E97">
        <v>830</v>
      </c>
      <c r="F97">
        <v>149</v>
      </c>
      <c r="G97">
        <v>4811</v>
      </c>
    </row>
    <row r="98" spans="1:7" x14ac:dyDescent="0.25">
      <c r="A98">
        <v>168</v>
      </c>
      <c r="B98">
        <v>3580</v>
      </c>
      <c r="C98">
        <v>39</v>
      </c>
      <c r="D98">
        <v>18</v>
      </c>
      <c r="E98">
        <v>835</v>
      </c>
      <c r="F98">
        <v>159</v>
      </c>
      <c r="G98">
        <v>4799</v>
      </c>
    </row>
    <row r="99" spans="1:7" x14ac:dyDescent="0.25">
      <c r="A99">
        <v>176</v>
      </c>
      <c r="B99">
        <v>3579</v>
      </c>
      <c r="C99">
        <v>38</v>
      </c>
      <c r="D99">
        <v>17</v>
      </c>
      <c r="E99">
        <v>828</v>
      </c>
      <c r="F99">
        <v>153</v>
      </c>
      <c r="G99">
        <v>4791</v>
      </c>
    </row>
    <row r="100" spans="1:7" x14ac:dyDescent="0.25">
      <c r="A100">
        <v>173</v>
      </c>
      <c r="B100">
        <v>3591</v>
      </c>
      <c r="C100">
        <v>37</v>
      </c>
      <c r="D100">
        <v>18</v>
      </c>
      <c r="E100">
        <v>826</v>
      </c>
      <c r="F100">
        <v>153</v>
      </c>
      <c r="G100">
        <v>4798</v>
      </c>
    </row>
    <row r="101" spans="1:7" x14ac:dyDescent="0.25">
      <c r="A101">
        <v>184</v>
      </c>
      <c r="B101">
        <v>3600</v>
      </c>
      <c r="C101">
        <v>39</v>
      </c>
      <c r="D101">
        <v>17</v>
      </c>
      <c r="E101">
        <v>833</v>
      </c>
      <c r="F101">
        <v>146</v>
      </c>
      <c r="G101">
        <v>4819</v>
      </c>
    </row>
    <row r="102" spans="1:7" x14ac:dyDescent="0.25">
      <c r="A102">
        <v>182</v>
      </c>
      <c r="B102">
        <v>3604</v>
      </c>
      <c r="C102">
        <v>38</v>
      </c>
      <c r="D102">
        <v>19</v>
      </c>
      <c r="E102">
        <v>832</v>
      </c>
      <c r="F102">
        <v>152</v>
      </c>
      <c r="G102">
        <v>4827</v>
      </c>
    </row>
    <row r="103" spans="1:7" x14ac:dyDescent="0.25">
      <c r="A103">
        <v>189</v>
      </c>
      <c r="B103">
        <v>3589</v>
      </c>
      <c r="C103">
        <v>40</v>
      </c>
      <c r="D103">
        <v>20</v>
      </c>
      <c r="E103">
        <v>835</v>
      </c>
      <c r="F103">
        <v>163</v>
      </c>
      <c r="G103">
        <v>4836</v>
      </c>
    </row>
    <row r="104" spans="1:7" x14ac:dyDescent="0.25">
      <c r="A104">
        <v>174</v>
      </c>
      <c r="B104">
        <v>3601</v>
      </c>
      <c r="C104">
        <v>37</v>
      </c>
      <c r="D104">
        <v>17</v>
      </c>
      <c r="E104">
        <v>837</v>
      </c>
      <c r="F104">
        <v>158</v>
      </c>
      <c r="G104">
        <v>4824</v>
      </c>
    </row>
    <row r="105" spans="1:7" x14ac:dyDescent="0.25">
      <c r="A105">
        <v>181</v>
      </c>
      <c r="B105">
        <v>3622</v>
      </c>
      <c r="C105">
        <v>37</v>
      </c>
      <c r="D105">
        <v>16</v>
      </c>
      <c r="E105">
        <v>784</v>
      </c>
      <c r="F105">
        <v>148</v>
      </c>
      <c r="G105">
        <v>4788</v>
      </c>
    </row>
    <row r="106" spans="1:7" x14ac:dyDescent="0.25">
      <c r="A106">
        <v>180</v>
      </c>
      <c r="B106">
        <v>3600</v>
      </c>
      <c r="C106">
        <v>38</v>
      </c>
      <c r="D106">
        <v>20</v>
      </c>
      <c r="E106">
        <v>821</v>
      </c>
      <c r="F106">
        <v>156</v>
      </c>
      <c r="G106">
        <v>4815</v>
      </c>
    </row>
    <row r="107" spans="1:7" x14ac:dyDescent="0.25">
      <c r="A107">
        <v>179</v>
      </c>
      <c r="B107">
        <v>3616</v>
      </c>
      <c r="C107">
        <v>38</v>
      </c>
      <c r="D107">
        <v>18</v>
      </c>
      <c r="E107">
        <v>837</v>
      </c>
      <c r="F107">
        <v>150</v>
      </c>
      <c r="G107">
        <v>4838</v>
      </c>
    </row>
    <row r="108" spans="1:7" x14ac:dyDescent="0.25">
      <c r="A108">
        <v>175</v>
      </c>
      <c r="B108">
        <v>3709</v>
      </c>
      <c r="C108">
        <v>40</v>
      </c>
      <c r="D108">
        <v>20</v>
      </c>
      <c r="E108">
        <v>840</v>
      </c>
      <c r="F108">
        <v>151</v>
      </c>
      <c r="G108">
        <v>4935</v>
      </c>
    </row>
    <row r="109" spans="1:7" x14ac:dyDescent="0.25">
      <c r="A109">
        <v>175</v>
      </c>
      <c r="B109">
        <v>3663</v>
      </c>
      <c r="C109">
        <v>39</v>
      </c>
      <c r="D109">
        <v>16</v>
      </c>
      <c r="E109">
        <v>809</v>
      </c>
      <c r="F109">
        <v>158</v>
      </c>
      <c r="G109">
        <v>4860</v>
      </c>
    </row>
    <row r="110" spans="1:7" x14ac:dyDescent="0.25">
      <c r="A110">
        <v>182</v>
      </c>
      <c r="B110">
        <v>3661</v>
      </c>
      <c r="C110">
        <v>37</v>
      </c>
      <c r="D110">
        <v>21</v>
      </c>
      <c r="E110">
        <v>833</v>
      </c>
      <c r="F110">
        <v>153</v>
      </c>
      <c r="G110">
        <v>4887</v>
      </c>
    </row>
    <row r="111" spans="1:7" x14ac:dyDescent="0.25">
      <c r="A111">
        <v>179</v>
      </c>
      <c r="B111">
        <v>3663</v>
      </c>
      <c r="C111">
        <v>39</v>
      </c>
      <c r="D111">
        <v>19</v>
      </c>
      <c r="E111">
        <v>839</v>
      </c>
      <c r="F111">
        <v>159</v>
      </c>
      <c r="G111">
        <v>4898</v>
      </c>
    </row>
    <row r="112" spans="1:7" x14ac:dyDescent="0.25">
      <c r="A112">
        <v>180</v>
      </c>
      <c r="B112">
        <v>3646</v>
      </c>
      <c r="C112">
        <v>39</v>
      </c>
      <c r="D112">
        <v>17</v>
      </c>
      <c r="E112">
        <v>837</v>
      </c>
      <c r="F112">
        <v>156</v>
      </c>
      <c r="G112">
        <v>4875</v>
      </c>
    </row>
    <row r="113" spans="1:7" x14ac:dyDescent="0.25">
      <c r="A113">
        <v>189</v>
      </c>
      <c r="B113">
        <v>3635</v>
      </c>
      <c r="C113">
        <v>38</v>
      </c>
      <c r="D113">
        <v>18</v>
      </c>
      <c r="E113">
        <v>850</v>
      </c>
      <c r="F113">
        <v>153</v>
      </c>
      <c r="G113">
        <v>4883</v>
      </c>
    </row>
    <row r="114" spans="1:7" x14ac:dyDescent="0.25">
      <c r="A114">
        <v>175</v>
      </c>
      <c r="B114">
        <v>3672</v>
      </c>
      <c r="C114">
        <v>39</v>
      </c>
      <c r="D114">
        <v>18</v>
      </c>
      <c r="E114">
        <v>846</v>
      </c>
      <c r="F114">
        <v>156</v>
      </c>
      <c r="G114">
        <v>4906</v>
      </c>
    </row>
    <row r="115" spans="1:7" x14ac:dyDescent="0.25">
      <c r="A115">
        <v>183</v>
      </c>
      <c r="B115">
        <v>3663</v>
      </c>
      <c r="C115">
        <v>38</v>
      </c>
      <c r="D115">
        <v>17</v>
      </c>
      <c r="E115">
        <v>825</v>
      </c>
      <c r="F115">
        <v>164</v>
      </c>
      <c r="G115">
        <v>4890</v>
      </c>
    </row>
    <row r="116" spans="1:7" x14ac:dyDescent="0.25">
      <c r="A116">
        <v>185</v>
      </c>
      <c r="B116">
        <v>3673</v>
      </c>
      <c r="C116">
        <v>38</v>
      </c>
      <c r="D116">
        <v>19</v>
      </c>
      <c r="E116">
        <v>838</v>
      </c>
      <c r="F116">
        <v>157</v>
      </c>
      <c r="G116">
        <v>4910</v>
      </c>
    </row>
    <row r="117" spans="1:7" x14ac:dyDescent="0.25">
      <c r="A117">
        <v>180</v>
      </c>
      <c r="B117">
        <v>3641</v>
      </c>
      <c r="C117">
        <v>38</v>
      </c>
      <c r="D117">
        <v>17</v>
      </c>
      <c r="E117">
        <v>844</v>
      </c>
      <c r="F117">
        <v>157</v>
      </c>
      <c r="G117">
        <v>4877</v>
      </c>
    </row>
    <row r="118" spans="1:7" x14ac:dyDescent="0.25">
      <c r="A118">
        <v>185</v>
      </c>
      <c r="B118">
        <v>3674</v>
      </c>
      <c r="C118">
        <v>39</v>
      </c>
      <c r="D118">
        <v>18</v>
      </c>
      <c r="E118">
        <v>856</v>
      </c>
      <c r="F118">
        <v>152</v>
      </c>
      <c r="G118">
        <v>4924</v>
      </c>
    </row>
    <row r="119" spans="1:7" x14ac:dyDescent="0.25">
      <c r="A119">
        <v>180</v>
      </c>
      <c r="B119">
        <v>3658</v>
      </c>
      <c r="C119">
        <v>37</v>
      </c>
      <c r="D119">
        <v>23</v>
      </c>
      <c r="E119">
        <v>841</v>
      </c>
      <c r="F119">
        <v>152</v>
      </c>
      <c r="G119">
        <v>4891</v>
      </c>
    </row>
    <row r="120" spans="1:7" x14ac:dyDescent="0.25">
      <c r="A120">
        <v>178</v>
      </c>
      <c r="B120">
        <v>3665</v>
      </c>
      <c r="C120">
        <v>37</v>
      </c>
      <c r="D120">
        <v>15</v>
      </c>
      <c r="E120">
        <v>790</v>
      </c>
      <c r="F120">
        <v>167</v>
      </c>
      <c r="G120">
        <v>4852</v>
      </c>
    </row>
    <row r="121" spans="1:7" x14ac:dyDescent="0.25">
      <c r="A121">
        <v>193</v>
      </c>
      <c r="B121">
        <v>3688</v>
      </c>
      <c r="C121">
        <v>38</v>
      </c>
      <c r="D121">
        <v>18</v>
      </c>
      <c r="E121">
        <v>842</v>
      </c>
      <c r="F121">
        <v>156</v>
      </c>
      <c r="G121">
        <v>4935</v>
      </c>
    </row>
    <row r="122" spans="1:7" x14ac:dyDescent="0.25">
      <c r="A122">
        <v>179</v>
      </c>
      <c r="B122">
        <v>3639</v>
      </c>
      <c r="C122">
        <v>39</v>
      </c>
      <c r="D122">
        <v>18</v>
      </c>
      <c r="E122">
        <v>841</v>
      </c>
      <c r="F122">
        <v>182</v>
      </c>
      <c r="G122">
        <v>4898</v>
      </c>
    </row>
    <row r="123" spans="1:7" x14ac:dyDescent="0.25">
      <c r="A123">
        <v>185</v>
      </c>
      <c r="B123">
        <v>3655</v>
      </c>
      <c r="C123">
        <v>38</v>
      </c>
      <c r="D123">
        <v>19</v>
      </c>
      <c r="E123">
        <v>845</v>
      </c>
      <c r="F123">
        <v>152</v>
      </c>
      <c r="G123">
        <v>4894</v>
      </c>
    </row>
    <row r="124" spans="1:7" x14ac:dyDescent="0.25">
      <c r="A124">
        <v>188</v>
      </c>
      <c r="B124">
        <v>3670</v>
      </c>
      <c r="C124">
        <v>38</v>
      </c>
      <c r="D124">
        <v>18</v>
      </c>
      <c r="E124">
        <v>847</v>
      </c>
      <c r="F124">
        <v>149</v>
      </c>
      <c r="G124">
        <v>4910</v>
      </c>
    </row>
    <row r="125" spans="1:7" x14ac:dyDescent="0.25">
      <c r="A125">
        <v>179</v>
      </c>
      <c r="B125">
        <v>3652</v>
      </c>
      <c r="C125">
        <v>39</v>
      </c>
      <c r="D125">
        <v>19</v>
      </c>
      <c r="E125">
        <v>843</v>
      </c>
      <c r="F125">
        <v>168</v>
      </c>
      <c r="G125">
        <v>4900</v>
      </c>
    </row>
    <row r="126" spans="1:7" x14ac:dyDescent="0.25">
      <c r="A126">
        <v>191</v>
      </c>
      <c r="B126">
        <v>3654</v>
      </c>
      <c r="C126">
        <v>37</v>
      </c>
      <c r="D126">
        <v>16</v>
      </c>
      <c r="E126">
        <v>907</v>
      </c>
      <c r="F126">
        <v>172</v>
      </c>
      <c r="G126">
        <v>4977</v>
      </c>
    </row>
    <row r="127" spans="1:7" x14ac:dyDescent="0.25">
      <c r="A127">
        <v>190</v>
      </c>
      <c r="B127">
        <v>3684</v>
      </c>
      <c r="C127">
        <v>37</v>
      </c>
      <c r="D127">
        <v>18</v>
      </c>
      <c r="E127">
        <v>832</v>
      </c>
      <c r="F127">
        <v>155</v>
      </c>
      <c r="G127">
        <v>4916</v>
      </c>
    </row>
    <row r="128" spans="1:7" x14ac:dyDescent="0.25">
      <c r="A128">
        <v>180</v>
      </c>
      <c r="B128">
        <v>3652</v>
      </c>
      <c r="C128">
        <v>38</v>
      </c>
      <c r="D128">
        <v>19</v>
      </c>
      <c r="E128">
        <v>841</v>
      </c>
      <c r="F128">
        <v>154</v>
      </c>
      <c r="G128">
        <v>4884</v>
      </c>
    </row>
    <row r="129" spans="1:7" x14ac:dyDescent="0.25">
      <c r="A129">
        <v>184</v>
      </c>
      <c r="B129">
        <v>3676</v>
      </c>
      <c r="C129">
        <v>38</v>
      </c>
      <c r="D129">
        <v>20</v>
      </c>
      <c r="E129">
        <v>853</v>
      </c>
      <c r="F129">
        <v>152</v>
      </c>
      <c r="G129">
        <v>4923</v>
      </c>
    </row>
    <row r="130" spans="1:7" x14ac:dyDescent="0.25">
      <c r="A130">
        <v>181</v>
      </c>
      <c r="B130">
        <v>3643</v>
      </c>
      <c r="C130">
        <v>39</v>
      </c>
      <c r="D130">
        <v>17</v>
      </c>
      <c r="E130">
        <v>864</v>
      </c>
      <c r="F130">
        <v>166</v>
      </c>
      <c r="G130">
        <v>4910</v>
      </c>
    </row>
  </sheetData>
  <mergeCells count="3">
    <mergeCell ref="A2:G2"/>
    <mergeCell ref="A5:G5"/>
    <mergeCell ref="A1:G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K29" sqref="K29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19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3" t="str">
        <f>duali5hdj4[[#Headers],[clone]]</f>
        <v>clone</v>
      </c>
      <c r="B3" s="3" t="str">
        <f>duali5hdj4[[#Headers],[build]]</f>
        <v>build</v>
      </c>
      <c r="C3" s="3" t="str">
        <f>duali5hdj4[[#Headers],[package]]</f>
        <v>package</v>
      </c>
      <c r="D3" s="3" t="str">
        <f>duali5hdj4[[#Headers],[packagetests]]</f>
        <v>packagetests</v>
      </c>
      <c r="E3" s="3" t="str">
        <f>duali5hdj4[[#Headers],[symbols]]</f>
        <v>symbols</v>
      </c>
      <c r="F3" s="3" t="str">
        <f>duali5hdj4[[#Headers],[clobber]]</f>
        <v>clobber</v>
      </c>
      <c r="G3" s="3" t="str">
        <f>duali5hdj4[[#Headers],[total]]</f>
        <v>total</v>
      </c>
    </row>
    <row r="4" spans="1:7" x14ac:dyDescent="0.25">
      <c r="A4">
        <f>AVERAGE(duali5hdj4[clone])</f>
        <v>174.40650406504065</v>
      </c>
      <c r="B4">
        <f>AVERAGE(duali5hdj4[build])</f>
        <v>3578.1463414634145</v>
      </c>
      <c r="C4">
        <f>AVERAGE(duali5hdj4[package])</f>
        <v>37.146341463414636</v>
      </c>
      <c r="D4">
        <f>AVERAGE(duali5hdj4[packagetests])</f>
        <v>18.886178861788618</v>
      </c>
      <c r="E4">
        <f>AVERAGE(duali5hdj4[symbols])</f>
        <v>795.63414634146341</v>
      </c>
      <c r="F4">
        <f>AVERAGE(duali5hdj4[clobber])</f>
        <v>146.5691056910569</v>
      </c>
      <c r="G4">
        <f>AVERAGE(duali5hdj4[total])</f>
        <v>4750.7886178861791</v>
      </c>
    </row>
    <row r="5" spans="1:7" x14ac:dyDescent="0.25">
      <c r="A5" s="12" t="s">
        <v>9</v>
      </c>
      <c r="B5" s="12"/>
      <c r="C5" s="12"/>
      <c r="D5" s="12"/>
      <c r="E5" s="12"/>
      <c r="F5" s="12"/>
      <c r="G5" s="12"/>
    </row>
    <row r="6" spans="1:7" x14ac:dyDescent="0.25">
      <c r="A6">
        <f>STDEV(duali5hdj4[clone])</f>
        <v>9.2575511034160876</v>
      </c>
      <c r="B6">
        <f>STDEV(duali5hdj4[build])</f>
        <v>46.680757949447496</v>
      </c>
      <c r="C6">
        <f>STDEV(duali5hdj4[package])</f>
        <v>1.2654483222232003</v>
      </c>
      <c r="D6">
        <f>STDEV(duali5hdj4[packagetests])</f>
        <v>4.8741594517607689</v>
      </c>
      <c r="E6">
        <f>STDEV(duali5hdj4[symbols])</f>
        <v>36.292813788227186</v>
      </c>
      <c r="F6">
        <f>STDEV(duali5hdj4[clobber])</f>
        <v>11.248374236490697</v>
      </c>
      <c r="G6">
        <f>STDEV(duali5hdj4[total])</f>
        <v>90.646064722708431</v>
      </c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>
        <v>121</v>
      </c>
      <c r="B8">
        <v>3735</v>
      </c>
      <c r="C8">
        <v>39</v>
      </c>
      <c r="D8">
        <v>19</v>
      </c>
      <c r="E8">
        <v>859</v>
      </c>
      <c r="F8">
        <v>169</v>
      </c>
      <c r="G8">
        <v>4942</v>
      </c>
    </row>
    <row r="9" spans="1:7" x14ac:dyDescent="0.25">
      <c r="A9">
        <v>188</v>
      </c>
      <c r="B9">
        <v>3782</v>
      </c>
      <c r="C9">
        <v>40</v>
      </c>
      <c r="D9">
        <v>17</v>
      </c>
      <c r="E9">
        <v>803</v>
      </c>
      <c r="F9">
        <v>155</v>
      </c>
      <c r="G9">
        <v>4985</v>
      </c>
    </row>
    <row r="10" spans="1:7" x14ac:dyDescent="0.25">
      <c r="A10">
        <v>177</v>
      </c>
      <c r="B10">
        <v>3802</v>
      </c>
      <c r="C10">
        <v>39</v>
      </c>
      <c r="D10">
        <v>19</v>
      </c>
      <c r="E10">
        <v>851</v>
      </c>
      <c r="F10">
        <v>157</v>
      </c>
      <c r="G10">
        <v>5045</v>
      </c>
    </row>
    <row r="11" spans="1:7" x14ac:dyDescent="0.25">
      <c r="A11">
        <v>183</v>
      </c>
      <c r="B11">
        <v>3752</v>
      </c>
      <c r="C11">
        <v>40</v>
      </c>
      <c r="D11">
        <v>19</v>
      </c>
      <c r="E11">
        <v>843</v>
      </c>
      <c r="F11">
        <v>159</v>
      </c>
      <c r="G11">
        <v>4996</v>
      </c>
    </row>
    <row r="12" spans="1:7" x14ac:dyDescent="0.25">
      <c r="A12">
        <v>185</v>
      </c>
      <c r="B12">
        <v>3710</v>
      </c>
      <c r="C12">
        <v>40</v>
      </c>
      <c r="D12">
        <v>17</v>
      </c>
      <c r="E12">
        <v>831</v>
      </c>
      <c r="F12">
        <v>168</v>
      </c>
      <c r="G12">
        <v>4951</v>
      </c>
    </row>
    <row r="13" spans="1:7" x14ac:dyDescent="0.25">
      <c r="A13">
        <v>191</v>
      </c>
      <c r="B13">
        <v>3730</v>
      </c>
      <c r="C13">
        <v>37</v>
      </c>
      <c r="D13">
        <v>17</v>
      </c>
      <c r="E13">
        <v>788</v>
      </c>
      <c r="F13">
        <v>159</v>
      </c>
      <c r="G13">
        <v>4922</v>
      </c>
    </row>
  </sheetData>
  <mergeCells count="3">
    <mergeCell ref="A1:G1"/>
    <mergeCell ref="A2:G2"/>
    <mergeCell ref="A5:G5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31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AVERAGE(Table19[clone])</f>
        <v>180.71428571428572</v>
      </c>
      <c r="B3" s="4">
        <f>AVERAGE(Table19[build])</f>
        <v>3780</v>
      </c>
      <c r="C3" s="4">
        <f>AVERAGE(Table19[package])</f>
        <v>38</v>
      </c>
      <c r="D3" s="4">
        <f>AVERAGE(Table19[packagetests])</f>
        <v>17.571428571428573</v>
      </c>
      <c r="E3" s="4">
        <f>AVERAGE(Table19[symbols])</f>
        <v>836.57142857142856</v>
      </c>
      <c r="F3" s="4">
        <f>AVERAGE(Table19[clobber])</f>
        <v>162.57142857142858</v>
      </c>
      <c r="G3" s="4">
        <f>AVERAGE(Table19[total])</f>
        <v>5015.4285714285716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STDEV(Table19[clone])</f>
        <v>19.712215212183281</v>
      </c>
      <c r="B5" s="4">
        <f>STDEV(Table19[build])</f>
        <v>115.83465227066841</v>
      </c>
      <c r="C5" s="4">
        <f>STDEV(Table19[package])</f>
        <v>1.8257418583505538</v>
      </c>
      <c r="D5" s="4">
        <f>STDEV(Table19[packagetests])</f>
        <v>1.2724180205607036</v>
      </c>
      <c r="E5" s="4">
        <f>STDEV(Table19[symbols])</f>
        <v>16.440368435218058</v>
      </c>
      <c r="F5" s="4">
        <f>STDEV(Table19[clobber])</f>
        <v>3.8234863173611089</v>
      </c>
      <c r="G5" s="4">
        <f>STDEV(Table19[total])</f>
        <v>100.69236505789493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140</v>
      </c>
      <c r="B7">
        <v>4037</v>
      </c>
      <c r="C7">
        <v>35</v>
      </c>
      <c r="D7">
        <v>16</v>
      </c>
      <c r="E7">
        <v>823</v>
      </c>
      <c r="F7">
        <v>169</v>
      </c>
      <c r="G7">
        <v>5220</v>
      </c>
    </row>
    <row r="8" spans="1:7" x14ac:dyDescent="0.25">
      <c r="A8">
        <v>196</v>
      </c>
      <c r="B8">
        <v>3769</v>
      </c>
      <c r="C8">
        <v>36</v>
      </c>
      <c r="D8">
        <v>18</v>
      </c>
      <c r="E8">
        <v>849</v>
      </c>
      <c r="F8">
        <v>161</v>
      </c>
      <c r="G8">
        <v>5029</v>
      </c>
    </row>
    <row r="9" spans="1:7" x14ac:dyDescent="0.25">
      <c r="A9">
        <v>201</v>
      </c>
      <c r="B9">
        <v>3767</v>
      </c>
      <c r="C9">
        <v>39</v>
      </c>
      <c r="D9">
        <v>19</v>
      </c>
      <c r="E9">
        <v>845</v>
      </c>
      <c r="F9">
        <v>167</v>
      </c>
      <c r="G9">
        <v>5038</v>
      </c>
    </row>
    <row r="10" spans="1:7" x14ac:dyDescent="0.25">
      <c r="A10">
        <v>180</v>
      </c>
      <c r="B10">
        <v>3727</v>
      </c>
      <c r="C10">
        <v>38</v>
      </c>
      <c r="D10">
        <v>18</v>
      </c>
      <c r="E10">
        <v>842</v>
      </c>
      <c r="F10">
        <v>160</v>
      </c>
      <c r="G10">
        <v>4965</v>
      </c>
    </row>
    <row r="11" spans="1:7" x14ac:dyDescent="0.25">
      <c r="A11">
        <v>181</v>
      </c>
      <c r="B11">
        <v>3723</v>
      </c>
      <c r="C11">
        <v>39</v>
      </c>
      <c r="D11">
        <v>16</v>
      </c>
      <c r="E11">
        <v>844</v>
      </c>
      <c r="F11">
        <v>159</v>
      </c>
      <c r="G11">
        <v>4962</v>
      </c>
    </row>
    <row r="12" spans="1:7" x14ac:dyDescent="0.25">
      <c r="A12">
        <v>181</v>
      </c>
      <c r="B12">
        <v>3702</v>
      </c>
      <c r="C12">
        <v>39</v>
      </c>
      <c r="D12">
        <v>17</v>
      </c>
      <c r="E12">
        <v>805</v>
      </c>
      <c r="F12">
        <v>161</v>
      </c>
      <c r="G12">
        <v>4905</v>
      </c>
    </row>
    <row r="13" spans="1:7" x14ac:dyDescent="0.25">
      <c r="A13">
        <v>186</v>
      </c>
      <c r="B13">
        <v>3735</v>
      </c>
      <c r="C13">
        <v>40</v>
      </c>
      <c r="D13">
        <v>19</v>
      </c>
      <c r="E13">
        <v>848</v>
      </c>
      <c r="F13">
        <v>161</v>
      </c>
      <c r="G13">
        <v>4989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9" sqref="A29"/>
    </sheetView>
  </sheetViews>
  <sheetFormatPr defaultRowHeight="15" x14ac:dyDescent="0.25"/>
  <cols>
    <col min="1" max="1" width="14.42578125" customWidth="1"/>
    <col min="2" max="2" width="8.42578125" bestFit="1" customWidth="1"/>
  </cols>
  <sheetData>
    <row r="1" spans="1:4" x14ac:dyDescent="0.25">
      <c r="A1" t="s">
        <v>21</v>
      </c>
      <c r="B1" t="s">
        <v>22</v>
      </c>
    </row>
    <row r="2" spans="1:4" x14ac:dyDescent="0.25">
      <c r="A2" s="6">
        <v>8890</v>
      </c>
      <c r="B2">
        <v>1348</v>
      </c>
      <c r="D2" t="s">
        <v>20</v>
      </c>
    </row>
    <row r="3" spans="1:4" x14ac:dyDescent="0.25">
      <c r="A3" s="6">
        <v>8939</v>
      </c>
      <c r="B3">
        <v>1418</v>
      </c>
    </row>
    <row r="4" spans="1:4" x14ac:dyDescent="0.25">
      <c r="A4" s="6">
        <v>8875</v>
      </c>
      <c r="B4">
        <v>1343</v>
      </c>
    </row>
    <row r="5" spans="1:4" x14ac:dyDescent="0.25">
      <c r="A5" s="6">
        <v>10075</v>
      </c>
      <c r="B5">
        <v>1768</v>
      </c>
    </row>
    <row r="6" spans="1:4" x14ac:dyDescent="0.25">
      <c r="A6" s="6">
        <v>8884</v>
      </c>
      <c r="B6">
        <v>1366</v>
      </c>
    </row>
    <row r="7" spans="1:4" x14ac:dyDescent="0.25">
      <c r="A7" s="6">
        <v>9749</v>
      </c>
      <c r="B7">
        <v>1608</v>
      </c>
    </row>
    <row r="8" spans="1:4" x14ac:dyDescent="0.25">
      <c r="A8" s="6">
        <v>9688</v>
      </c>
      <c r="B8">
        <v>1594</v>
      </c>
    </row>
    <row r="9" spans="1:4" x14ac:dyDescent="0.25">
      <c r="A9" s="6">
        <v>9023</v>
      </c>
      <c r="B9">
        <v>1411</v>
      </c>
    </row>
    <row r="10" spans="1:4" x14ac:dyDescent="0.25">
      <c r="A10" s="6">
        <v>8966</v>
      </c>
      <c r="B10">
        <v>1389</v>
      </c>
    </row>
    <row r="11" spans="1:4" x14ac:dyDescent="0.25">
      <c r="A11" s="6">
        <v>9770</v>
      </c>
      <c r="B11">
        <v>1782</v>
      </c>
    </row>
    <row r="12" spans="1:4" x14ac:dyDescent="0.25">
      <c r="A12" s="6">
        <v>9182</v>
      </c>
      <c r="B12">
        <v>1407</v>
      </c>
    </row>
    <row r="13" spans="1:4" x14ac:dyDescent="0.25">
      <c r="A13" s="6">
        <v>9205</v>
      </c>
      <c r="B13">
        <v>1449</v>
      </c>
    </row>
    <row r="14" spans="1:4" x14ac:dyDescent="0.25">
      <c r="A14" s="6">
        <v>9039</v>
      </c>
      <c r="B14">
        <v>1348</v>
      </c>
    </row>
    <row r="15" spans="1:4" x14ac:dyDescent="0.25">
      <c r="A15" s="6">
        <v>9144</v>
      </c>
      <c r="B15">
        <v>1379</v>
      </c>
    </row>
    <row r="16" spans="1:4" x14ac:dyDescent="0.25">
      <c r="A16" s="6">
        <v>9145</v>
      </c>
      <c r="B16">
        <v>1382</v>
      </c>
    </row>
    <row r="17" spans="1:2" x14ac:dyDescent="0.25">
      <c r="A17" s="6">
        <v>9151</v>
      </c>
      <c r="B17">
        <v>1500</v>
      </c>
    </row>
    <row r="18" spans="1:2" x14ac:dyDescent="0.25">
      <c r="A18" s="6">
        <v>8754</v>
      </c>
      <c r="B18">
        <v>1359</v>
      </c>
    </row>
    <row r="19" spans="1:2" x14ac:dyDescent="0.25">
      <c r="A19" s="6">
        <v>8790</v>
      </c>
      <c r="B19">
        <v>1424</v>
      </c>
    </row>
    <row r="20" spans="1:2" x14ac:dyDescent="0.25">
      <c r="A20" s="6">
        <v>8906</v>
      </c>
      <c r="B20">
        <v>1356</v>
      </c>
    </row>
    <row r="21" spans="1:2" x14ac:dyDescent="0.25">
      <c r="A21" s="6">
        <v>8923</v>
      </c>
      <c r="B21">
        <v>1348</v>
      </c>
    </row>
    <row r="22" spans="1:2" s="6" customFormat="1" x14ac:dyDescent="0.25">
      <c r="A22" s="6">
        <f>AVERAGE(moz2_compile)</f>
        <v>9154.9</v>
      </c>
      <c r="B22" s="6">
        <f>AVERAGE(moz2_symbols)</f>
        <v>1448.95</v>
      </c>
    </row>
    <row r="23" spans="1:2" x14ac:dyDescent="0.25">
      <c r="A23">
        <f>STDEV(moz2_compile)</f>
        <v>370.64593688089423</v>
      </c>
      <c r="B23">
        <f>STDEV(moz2_symbols)</f>
        <v>134.71547990604415</v>
      </c>
    </row>
    <row r="28" spans="1:2" x14ac:dyDescent="0.25">
      <c r="A28">
        <f>A22/3600</f>
        <v>2.5430277777777777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35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AVERAGE(Table20[clone])</f>
        <v>93.9</v>
      </c>
      <c r="B3" s="4">
        <f>AVERAGE(Table20[build])</f>
        <v>2371.1999999999998</v>
      </c>
      <c r="C3" s="4">
        <f>AVERAGE(Table20[package])</f>
        <v>22.2</v>
      </c>
      <c r="D3" s="4">
        <f>AVERAGE(Table20[packagetests])</f>
        <v>13.3</v>
      </c>
      <c r="E3" s="4">
        <f>AVERAGE(Table20[symbols])</f>
        <v>708.6</v>
      </c>
      <c r="F3" s="4">
        <f>AVERAGE(Table20[clobber])</f>
        <v>49.5</v>
      </c>
      <c r="G3" s="4">
        <f>AVERAGE(Table20[total])</f>
        <v>3258.7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STDEV(Table20[clone])</f>
        <v>4.0124805295477755</v>
      </c>
      <c r="B5" s="4">
        <f>STDEV(Table20[build])</f>
        <v>10.13026269265621</v>
      </c>
      <c r="C5" s="4">
        <f>STDEV(Table20[package])</f>
        <v>0.63245553203367588</v>
      </c>
      <c r="D5" s="4">
        <f>STDEV(Table20[packagetests])</f>
        <v>0.94868329805051388</v>
      </c>
      <c r="E5" s="4">
        <f>STDEV(Table20[symbols])</f>
        <v>6.6198355132300843</v>
      </c>
      <c r="F5" s="4">
        <f>STDEV(Table20[clobber])</f>
        <v>0.52704627669472992</v>
      </c>
      <c r="G5" s="4">
        <f>STDEV(Table20[total])</f>
        <v>8.9697020884506298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83</v>
      </c>
      <c r="B7">
        <v>2393</v>
      </c>
      <c r="C7">
        <v>22</v>
      </c>
      <c r="D7">
        <v>14</v>
      </c>
      <c r="E7">
        <v>705</v>
      </c>
      <c r="F7">
        <v>49</v>
      </c>
      <c r="G7">
        <v>3266</v>
      </c>
    </row>
    <row r="8" spans="1:7" x14ac:dyDescent="0.25">
      <c r="A8">
        <v>97</v>
      </c>
      <c r="B8">
        <v>2369</v>
      </c>
      <c r="C8">
        <v>23</v>
      </c>
      <c r="D8">
        <v>14</v>
      </c>
      <c r="E8">
        <v>705</v>
      </c>
      <c r="F8">
        <v>49</v>
      </c>
      <c r="G8">
        <v>3257</v>
      </c>
    </row>
    <row r="9" spans="1:7" x14ac:dyDescent="0.25">
      <c r="A9">
        <v>95</v>
      </c>
      <c r="B9">
        <v>2362</v>
      </c>
      <c r="C9">
        <v>22</v>
      </c>
      <c r="D9">
        <v>11</v>
      </c>
      <c r="E9">
        <v>725</v>
      </c>
      <c r="F9">
        <v>49</v>
      </c>
      <c r="G9">
        <v>3264</v>
      </c>
    </row>
    <row r="10" spans="1:7" x14ac:dyDescent="0.25">
      <c r="A10">
        <v>94</v>
      </c>
      <c r="B10">
        <v>2362</v>
      </c>
      <c r="C10">
        <v>23</v>
      </c>
      <c r="D10">
        <v>13</v>
      </c>
      <c r="E10">
        <v>710</v>
      </c>
      <c r="F10">
        <v>50</v>
      </c>
      <c r="G10">
        <v>3252</v>
      </c>
    </row>
    <row r="11" spans="1:7" x14ac:dyDescent="0.25">
      <c r="A11">
        <v>94</v>
      </c>
      <c r="B11">
        <v>2363</v>
      </c>
      <c r="C11">
        <v>22</v>
      </c>
      <c r="D11">
        <v>13</v>
      </c>
      <c r="E11">
        <v>709</v>
      </c>
      <c r="F11">
        <v>49</v>
      </c>
      <c r="G11">
        <v>3250</v>
      </c>
    </row>
    <row r="12" spans="1:7" x14ac:dyDescent="0.25">
      <c r="A12">
        <v>93</v>
      </c>
      <c r="B12">
        <v>2362</v>
      </c>
      <c r="C12">
        <v>22</v>
      </c>
      <c r="D12">
        <v>13</v>
      </c>
      <c r="E12">
        <v>703</v>
      </c>
      <c r="F12">
        <v>50</v>
      </c>
      <c r="G12">
        <v>3243</v>
      </c>
    </row>
    <row r="13" spans="1:7" x14ac:dyDescent="0.25">
      <c r="A13">
        <v>96</v>
      </c>
      <c r="B13">
        <v>2377</v>
      </c>
      <c r="C13">
        <v>21</v>
      </c>
      <c r="D13">
        <v>14</v>
      </c>
      <c r="E13">
        <v>712</v>
      </c>
      <c r="F13">
        <v>49</v>
      </c>
      <c r="G13">
        <v>3269</v>
      </c>
    </row>
    <row r="14" spans="1:7" x14ac:dyDescent="0.25">
      <c r="A14">
        <v>96</v>
      </c>
      <c r="B14">
        <v>2379</v>
      </c>
      <c r="C14">
        <v>22</v>
      </c>
      <c r="D14">
        <v>14</v>
      </c>
      <c r="E14">
        <v>710</v>
      </c>
      <c r="F14">
        <v>50</v>
      </c>
      <c r="G14">
        <v>3271</v>
      </c>
    </row>
    <row r="15" spans="1:7" x14ac:dyDescent="0.25">
      <c r="A15">
        <v>96</v>
      </c>
      <c r="B15">
        <v>2369</v>
      </c>
      <c r="C15">
        <v>23</v>
      </c>
      <c r="D15">
        <v>14</v>
      </c>
      <c r="E15">
        <v>703</v>
      </c>
      <c r="F15">
        <v>50</v>
      </c>
      <c r="G15">
        <v>3255</v>
      </c>
    </row>
    <row r="16" spans="1:7" x14ac:dyDescent="0.25">
      <c r="A16">
        <v>95</v>
      </c>
      <c r="B16">
        <v>2376</v>
      </c>
      <c r="C16">
        <v>22</v>
      </c>
      <c r="D16">
        <v>13</v>
      </c>
      <c r="E16">
        <v>704</v>
      </c>
      <c r="F16">
        <v>50</v>
      </c>
      <c r="G16">
        <v>3260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36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AVERAGE(Table21[clone])</f>
        <v>90.538461538461533</v>
      </c>
      <c r="B3" s="4">
        <f>AVERAGE(Table21[build])</f>
        <v>2825.3333333333335</v>
      </c>
      <c r="C3" s="4">
        <f>AVERAGE(Table21[package])</f>
        <v>23.26923076923077</v>
      </c>
      <c r="D3" s="4">
        <f>AVERAGE(Table21[packagetests])</f>
        <v>10.974358974358974</v>
      </c>
      <c r="E3" s="4">
        <f>AVERAGE(Table21[symbols])</f>
        <v>612.66666666666663</v>
      </c>
      <c r="F3" s="4">
        <f>AVERAGE(Table21[clobber])</f>
        <v>43.589743589743591</v>
      </c>
      <c r="G3" s="4">
        <f>AVERAGE(Table21[total])</f>
        <v>3606.3717948717949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STDEV(Table21[clone])</f>
        <v>0.80084870066613734</v>
      </c>
      <c r="B5" s="4">
        <f>STDEV(Table21[build])</f>
        <v>30.521725992737654</v>
      </c>
      <c r="C5" s="4">
        <f>STDEV(Table21[package])</f>
        <v>0.67752561504415376</v>
      </c>
      <c r="D5" s="4">
        <f>STDEV(Table21[packagetests])</f>
        <v>0.73809792357690951</v>
      </c>
      <c r="E5" s="4">
        <f>STDEV(Table21[symbols])</f>
        <v>8.637981165452878</v>
      </c>
      <c r="F5" s="4">
        <f>STDEV(Table21[clobber])</f>
        <v>0.49506387980567279</v>
      </c>
      <c r="G5" s="4">
        <f>STDEV(Table21[total])</f>
        <v>36.868354421855571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91</v>
      </c>
      <c r="B7">
        <v>2826</v>
      </c>
      <c r="C7">
        <v>24</v>
      </c>
      <c r="D7">
        <v>11</v>
      </c>
      <c r="E7">
        <v>603</v>
      </c>
      <c r="F7">
        <v>43</v>
      </c>
      <c r="G7">
        <v>3598</v>
      </c>
    </row>
    <row r="8" spans="1:7" x14ac:dyDescent="0.25">
      <c r="A8">
        <v>91</v>
      </c>
      <c r="B8">
        <v>2796</v>
      </c>
      <c r="C8">
        <v>23</v>
      </c>
      <c r="D8">
        <v>11</v>
      </c>
      <c r="E8">
        <v>603</v>
      </c>
      <c r="F8">
        <v>44</v>
      </c>
      <c r="G8">
        <v>3568</v>
      </c>
    </row>
    <row r="9" spans="1:7" x14ac:dyDescent="0.25">
      <c r="A9">
        <v>90</v>
      </c>
      <c r="B9">
        <v>2799</v>
      </c>
      <c r="C9">
        <v>24</v>
      </c>
      <c r="D9">
        <v>10</v>
      </c>
      <c r="E9">
        <v>606</v>
      </c>
      <c r="F9">
        <v>43</v>
      </c>
      <c r="G9">
        <v>3572</v>
      </c>
    </row>
    <row r="10" spans="1:7" x14ac:dyDescent="0.25">
      <c r="A10">
        <v>92</v>
      </c>
      <c r="B10">
        <v>2801</v>
      </c>
      <c r="C10">
        <v>23</v>
      </c>
      <c r="D10">
        <v>11</v>
      </c>
      <c r="E10">
        <v>608</v>
      </c>
      <c r="F10">
        <v>44</v>
      </c>
      <c r="G10">
        <v>3579</v>
      </c>
    </row>
    <row r="11" spans="1:7" x14ac:dyDescent="0.25">
      <c r="A11">
        <v>90</v>
      </c>
      <c r="B11">
        <v>2799</v>
      </c>
      <c r="C11">
        <v>25</v>
      </c>
      <c r="D11">
        <v>11</v>
      </c>
      <c r="E11">
        <v>602</v>
      </c>
      <c r="F11">
        <v>43</v>
      </c>
      <c r="G11">
        <v>3570</v>
      </c>
    </row>
    <row r="12" spans="1:7" x14ac:dyDescent="0.25">
      <c r="A12">
        <v>90</v>
      </c>
      <c r="B12">
        <v>2803</v>
      </c>
      <c r="C12">
        <v>23</v>
      </c>
      <c r="D12">
        <v>10</v>
      </c>
      <c r="E12">
        <v>600</v>
      </c>
      <c r="F12">
        <v>43</v>
      </c>
      <c r="G12">
        <v>3569</v>
      </c>
    </row>
    <row r="13" spans="1:7" x14ac:dyDescent="0.25">
      <c r="A13">
        <v>91</v>
      </c>
      <c r="B13">
        <v>2799</v>
      </c>
      <c r="C13">
        <v>24</v>
      </c>
      <c r="D13">
        <v>11</v>
      </c>
      <c r="E13">
        <v>601</v>
      </c>
      <c r="F13">
        <v>43</v>
      </c>
      <c r="G13">
        <v>3569</v>
      </c>
    </row>
    <row r="14" spans="1:7" x14ac:dyDescent="0.25">
      <c r="A14">
        <v>91</v>
      </c>
      <c r="B14">
        <v>2799</v>
      </c>
      <c r="C14">
        <v>23</v>
      </c>
      <c r="D14">
        <v>10</v>
      </c>
      <c r="E14">
        <v>604</v>
      </c>
      <c r="F14">
        <v>43</v>
      </c>
      <c r="G14">
        <v>3570</v>
      </c>
    </row>
    <row r="15" spans="1:7" x14ac:dyDescent="0.25">
      <c r="A15">
        <v>90</v>
      </c>
      <c r="B15">
        <v>2796</v>
      </c>
      <c r="C15">
        <v>24</v>
      </c>
      <c r="D15">
        <v>10</v>
      </c>
      <c r="E15">
        <v>606</v>
      </c>
      <c r="F15">
        <v>43</v>
      </c>
      <c r="G15">
        <v>3569</v>
      </c>
    </row>
    <row r="16" spans="1:7" x14ac:dyDescent="0.25">
      <c r="A16">
        <v>90</v>
      </c>
      <c r="B16">
        <v>2804</v>
      </c>
      <c r="C16">
        <v>23</v>
      </c>
      <c r="D16">
        <v>12</v>
      </c>
      <c r="E16">
        <v>602</v>
      </c>
      <c r="F16">
        <v>43</v>
      </c>
      <c r="G16">
        <v>3574</v>
      </c>
    </row>
    <row r="17" spans="1:7" x14ac:dyDescent="0.25">
      <c r="A17">
        <v>91</v>
      </c>
      <c r="B17">
        <v>2806</v>
      </c>
      <c r="C17">
        <v>23</v>
      </c>
      <c r="D17">
        <v>10</v>
      </c>
      <c r="E17">
        <v>598</v>
      </c>
      <c r="F17">
        <v>43</v>
      </c>
      <c r="G17">
        <v>3571</v>
      </c>
    </row>
    <row r="18" spans="1:7" x14ac:dyDescent="0.25">
      <c r="A18">
        <v>91</v>
      </c>
      <c r="B18">
        <v>2806</v>
      </c>
      <c r="C18">
        <v>23</v>
      </c>
      <c r="D18">
        <v>12</v>
      </c>
      <c r="E18">
        <v>598</v>
      </c>
      <c r="F18">
        <v>43</v>
      </c>
      <c r="G18">
        <v>3573</v>
      </c>
    </row>
    <row r="19" spans="1:7" x14ac:dyDescent="0.25">
      <c r="A19">
        <v>91</v>
      </c>
      <c r="B19">
        <v>2802</v>
      </c>
      <c r="C19">
        <v>23</v>
      </c>
      <c r="D19">
        <v>11</v>
      </c>
      <c r="E19">
        <v>603</v>
      </c>
      <c r="F19">
        <v>43</v>
      </c>
      <c r="G19">
        <v>3573</v>
      </c>
    </row>
    <row r="20" spans="1:7" x14ac:dyDescent="0.25">
      <c r="A20">
        <v>91</v>
      </c>
      <c r="B20">
        <v>2803</v>
      </c>
      <c r="C20">
        <v>24</v>
      </c>
      <c r="D20">
        <v>11</v>
      </c>
      <c r="E20">
        <v>601</v>
      </c>
      <c r="F20">
        <v>44</v>
      </c>
      <c r="G20">
        <v>3574</v>
      </c>
    </row>
    <row r="21" spans="1:7" x14ac:dyDescent="0.25">
      <c r="A21">
        <v>89</v>
      </c>
      <c r="B21">
        <v>2804</v>
      </c>
      <c r="C21">
        <v>23</v>
      </c>
      <c r="D21">
        <v>10</v>
      </c>
      <c r="E21">
        <v>604</v>
      </c>
      <c r="F21">
        <v>43</v>
      </c>
      <c r="G21">
        <v>3573</v>
      </c>
    </row>
    <row r="22" spans="1:7" x14ac:dyDescent="0.25">
      <c r="A22">
        <v>90</v>
      </c>
      <c r="B22">
        <v>2803</v>
      </c>
      <c r="C22">
        <v>23</v>
      </c>
      <c r="D22">
        <v>11</v>
      </c>
      <c r="E22">
        <v>602</v>
      </c>
      <c r="F22">
        <v>44</v>
      </c>
      <c r="G22">
        <v>3573</v>
      </c>
    </row>
    <row r="23" spans="1:7" x14ac:dyDescent="0.25">
      <c r="A23">
        <v>89</v>
      </c>
      <c r="B23">
        <v>2803</v>
      </c>
      <c r="C23">
        <v>23</v>
      </c>
      <c r="D23">
        <v>11</v>
      </c>
      <c r="E23">
        <v>601</v>
      </c>
      <c r="F23">
        <v>43</v>
      </c>
      <c r="G23">
        <v>3570</v>
      </c>
    </row>
    <row r="24" spans="1:7" x14ac:dyDescent="0.25">
      <c r="A24">
        <v>91</v>
      </c>
      <c r="B24">
        <v>2808</v>
      </c>
      <c r="C24">
        <v>23</v>
      </c>
      <c r="D24">
        <v>11</v>
      </c>
      <c r="E24">
        <v>601</v>
      </c>
      <c r="F24">
        <v>44</v>
      </c>
      <c r="G24">
        <v>3578</v>
      </c>
    </row>
    <row r="25" spans="1:7" x14ac:dyDescent="0.25">
      <c r="A25">
        <v>91</v>
      </c>
      <c r="B25">
        <v>2806</v>
      </c>
      <c r="C25">
        <v>23</v>
      </c>
      <c r="D25">
        <v>10</v>
      </c>
      <c r="E25">
        <v>603</v>
      </c>
      <c r="F25">
        <v>44</v>
      </c>
      <c r="G25">
        <v>3577</v>
      </c>
    </row>
    <row r="26" spans="1:7" x14ac:dyDescent="0.25">
      <c r="A26">
        <v>90</v>
      </c>
      <c r="B26">
        <v>2807</v>
      </c>
      <c r="C26">
        <v>23</v>
      </c>
      <c r="D26">
        <v>11</v>
      </c>
      <c r="E26">
        <v>608</v>
      </c>
      <c r="F26">
        <v>44</v>
      </c>
      <c r="G26">
        <v>3583</v>
      </c>
    </row>
    <row r="27" spans="1:7" x14ac:dyDescent="0.25">
      <c r="A27">
        <v>89</v>
      </c>
      <c r="B27">
        <v>2805</v>
      </c>
      <c r="C27">
        <v>23</v>
      </c>
      <c r="D27">
        <v>10</v>
      </c>
      <c r="E27">
        <v>596</v>
      </c>
      <c r="F27">
        <v>44</v>
      </c>
      <c r="G27">
        <v>3567</v>
      </c>
    </row>
    <row r="28" spans="1:7" x14ac:dyDescent="0.25">
      <c r="A28">
        <v>89</v>
      </c>
      <c r="B28">
        <v>2807</v>
      </c>
      <c r="C28">
        <v>23</v>
      </c>
      <c r="D28">
        <v>11</v>
      </c>
      <c r="E28">
        <v>602</v>
      </c>
      <c r="F28">
        <v>44</v>
      </c>
      <c r="G28">
        <v>3576</v>
      </c>
    </row>
    <row r="29" spans="1:7" x14ac:dyDescent="0.25">
      <c r="A29">
        <v>90</v>
      </c>
      <c r="B29">
        <v>2805</v>
      </c>
      <c r="C29">
        <v>23</v>
      </c>
      <c r="D29">
        <v>11</v>
      </c>
      <c r="E29">
        <v>602</v>
      </c>
      <c r="F29">
        <v>43</v>
      </c>
      <c r="G29">
        <v>3574</v>
      </c>
    </row>
    <row r="30" spans="1:7" x14ac:dyDescent="0.25">
      <c r="A30">
        <v>90</v>
      </c>
      <c r="B30">
        <v>2806</v>
      </c>
      <c r="C30">
        <v>24</v>
      </c>
      <c r="D30">
        <v>10</v>
      </c>
      <c r="E30">
        <v>600</v>
      </c>
      <c r="F30">
        <v>44</v>
      </c>
      <c r="G30">
        <v>3574</v>
      </c>
    </row>
    <row r="31" spans="1:7" x14ac:dyDescent="0.25">
      <c r="A31">
        <v>90</v>
      </c>
      <c r="B31">
        <v>2806</v>
      </c>
      <c r="C31">
        <v>23</v>
      </c>
      <c r="D31">
        <v>11</v>
      </c>
      <c r="E31">
        <v>601</v>
      </c>
      <c r="F31">
        <v>44</v>
      </c>
      <c r="G31">
        <v>3575</v>
      </c>
    </row>
    <row r="32" spans="1:7" x14ac:dyDescent="0.25">
      <c r="A32">
        <v>90</v>
      </c>
      <c r="B32">
        <v>2810</v>
      </c>
      <c r="C32">
        <v>22</v>
      </c>
      <c r="D32">
        <v>10</v>
      </c>
      <c r="E32">
        <v>612</v>
      </c>
      <c r="F32">
        <v>44</v>
      </c>
      <c r="G32">
        <v>3588</v>
      </c>
    </row>
    <row r="33" spans="1:7" x14ac:dyDescent="0.25">
      <c r="A33">
        <v>90</v>
      </c>
      <c r="B33">
        <v>2809</v>
      </c>
      <c r="C33">
        <v>24</v>
      </c>
      <c r="D33">
        <v>11</v>
      </c>
      <c r="E33">
        <v>602</v>
      </c>
      <c r="F33">
        <v>43</v>
      </c>
      <c r="G33">
        <v>3579</v>
      </c>
    </row>
    <row r="34" spans="1:7" x14ac:dyDescent="0.25">
      <c r="A34">
        <v>91</v>
      </c>
      <c r="B34">
        <v>2809</v>
      </c>
      <c r="C34">
        <v>23</v>
      </c>
      <c r="D34">
        <v>12</v>
      </c>
      <c r="E34">
        <v>605</v>
      </c>
      <c r="F34">
        <v>44</v>
      </c>
      <c r="G34">
        <v>3584</v>
      </c>
    </row>
    <row r="35" spans="1:7" x14ac:dyDescent="0.25">
      <c r="A35">
        <v>90</v>
      </c>
      <c r="B35">
        <v>2813</v>
      </c>
      <c r="C35">
        <v>23</v>
      </c>
      <c r="D35">
        <v>10</v>
      </c>
      <c r="E35">
        <v>602</v>
      </c>
      <c r="F35">
        <v>44</v>
      </c>
      <c r="G35">
        <v>3582</v>
      </c>
    </row>
    <row r="36" spans="1:7" x14ac:dyDescent="0.25">
      <c r="A36">
        <v>90</v>
      </c>
      <c r="B36">
        <v>2814</v>
      </c>
      <c r="C36">
        <v>23</v>
      </c>
      <c r="D36">
        <v>12</v>
      </c>
      <c r="E36">
        <v>605</v>
      </c>
      <c r="F36">
        <v>44</v>
      </c>
      <c r="G36">
        <v>3588</v>
      </c>
    </row>
    <row r="37" spans="1:7" x14ac:dyDescent="0.25">
      <c r="A37">
        <v>91</v>
      </c>
      <c r="B37">
        <v>2806</v>
      </c>
      <c r="C37">
        <v>23</v>
      </c>
      <c r="D37">
        <v>11</v>
      </c>
      <c r="E37">
        <v>608</v>
      </c>
      <c r="F37">
        <v>43</v>
      </c>
      <c r="G37">
        <v>3582</v>
      </c>
    </row>
    <row r="38" spans="1:7" x14ac:dyDescent="0.25">
      <c r="A38">
        <v>90</v>
      </c>
      <c r="B38">
        <v>2810</v>
      </c>
      <c r="C38">
        <v>23</v>
      </c>
      <c r="D38">
        <v>10</v>
      </c>
      <c r="E38">
        <v>615</v>
      </c>
      <c r="F38">
        <v>44</v>
      </c>
      <c r="G38">
        <v>3592</v>
      </c>
    </row>
    <row r="39" spans="1:7" x14ac:dyDescent="0.25">
      <c r="A39">
        <v>90</v>
      </c>
      <c r="B39">
        <v>2813</v>
      </c>
      <c r="C39">
        <v>23</v>
      </c>
      <c r="D39">
        <v>12</v>
      </c>
      <c r="E39">
        <v>609</v>
      </c>
      <c r="F39">
        <v>43</v>
      </c>
      <c r="G39">
        <v>3590</v>
      </c>
    </row>
    <row r="40" spans="1:7" x14ac:dyDescent="0.25">
      <c r="A40">
        <v>91</v>
      </c>
      <c r="B40">
        <v>2813</v>
      </c>
      <c r="C40">
        <v>24</v>
      </c>
      <c r="D40">
        <v>10</v>
      </c>
      <c r="E40">
        <v>611</v>
      </c>
      <c r="F40">
        <v>44</v>
      </c>
      <c r="G40">
        <v>3593</v>
      </c>
    </row>
    <row r="41" spans="1:7" x14ac:dyDescent="0.25">
      <c r="A41">
        <v>91</v>
      </c>
      <c r="B41">
        <v>2816</v>
      </c>
      <c r="C41">
        <v>24</v>
      </c>
      <c r="D41">
        <v>11</v>
      </c>
      <c r="E41">
        <v>617</v>
      </c>
      <c r="F41">
        <v>43</v>
      </c>
      <c r="G41">
        <v>3602</v>
      </c>
    </row>
    <row r="42" spans="1:7" x14ac:dyDescent="0.25">
      <c r="A42">
        <v>91</v>
      </c>
      <c r="B42">
        <v>2813</v>
      </c>
      <c r="C42">
        <v>23</v>
      </c>
      <c r="D42">
        <v>11</v>
      </c>
      <c r="E42">
        <v>616</v>
      </c>
      <c r="F42">
        <v>44</v>
      </c>
      <c r="G42">
        <v>3598</v>
      </c>
    </row>
    <row r="43" spans="1:7" x14ac:dyDescent="0.25">
      <c r="A43">
        <v>91</v>
      </c>
      <c r="B43">
        <v>2815</v>
      </c>
      <c r="C43">
        <v>23</v>
      </c>
      <c r="D43">
        <v>11</v>
      </c>
      <c r="E43">
        <v>620</v>
      </c>
      <c r="F43">
        <v>44</v>
      </c>
      <c r="G43">
        <v>3604</v>
      </c>
    </row>
    <row r="44" spans="1:7" x14ac:dyDescent="0.25">
      <c r="A44">
        <v>91</v>
      </c>
      <c r="B44">
        <v>2818</v>
      </c>
      <c r="C44">
        <v>23</v>
      </c>
      <c r="D44">
        <v>10</v>
      </c>
      <c r="E44">
        <v>620</v>
      </c>
      <c r="F44">
        <v>44</v>
      </c>
      <c r="G44">
        <v>3606</v>
      </c>
    </row>
    <row r="45" spans="1:7" x14ac:dyDescent="0.25">
      <c r="A45">
        <v>90</v>
      </c>
      <c r="B45">
        <v>2815</v>
      </c>
      <c r="C45">
        <v>24</v>
      </c>
      <c r="D45">
        <v>10</v>
      </c>
      <c r="E45">
        <v>618</v>
      </c>
      <c r="F45">
        <v>43</v>
      </c>
      <c r="G45">
        <v>3600</v>
      </c>
    </row>
    <row r="46" spans="1:7" x14ac:dyDescent="0.25">
      <c r="A46">
        <v>91</v>
      </c>
      <c r="B46">
        <v>2816</v>
      </c>
      <c r="C46">
        <v>23</v>
      </c>
      <c r="D46">
        <v>10</v>
      </c>
      <c r="E46">
        <v>619</v>
      </c>
      <c r="F46">
        <v>44</v>
      </c>
      <c r="G46">
        <v>3603</v>
      </c>
    </row>
    <row r="47" spans="1:7" x14ac:dyDescent="0.25">
      <c r="A47">
        <v>89</v>
      </c>
      <c r="B47">
        <v>2817</v>
      </c>
      <c r="C47">
        <v>22</v>
      </c>
      <c r="D47">
        <v>12</v>
      </c>
      <c r="E47">
        <v>618</v>
      </c>
      <c r="F47">
        <v>44</v>
      </c>
      <c r="G47">
        <v>3602</v>
      </c>
    </row>
    <row r="48" spans="1:7" x14ac:dyDescent="0.25">
      <c r="A48">
        <v>90</v>
      </c>
      <c r="B48">
        <v>2818</v>
      </c>
      <c r="C48">
        <v>24</v>
      </c>
      <c r="D48">
        <v>10</v>
      </c>
      <c r="E48">
        <v>620</v>
      </c>
      <c r="F48">
        <v>43</v>
      </c>
      <c r="G48">
        <v>3605</v>
      </c>
    </row>
    <row r="49" spans="1:7" x14ac:dyDescent="0.25">
      <c r="A49">
        <v>90</v>
      </c>
      <c r="B49">
        <v>2817</v>
      </c>
      <c r="C49">
        <v>23</v>
      </c>
      <c r="D49">
        <v>11</v>
      </c>
      <c r="E49">
        <v>624</v>
      </c>
      <c r="F49">
        <v>43</v>
      </c>
      <c r="G49">
        <v>3608</v>
      </c>
    </row>
    <row r="50" spans="1:7" x14ac:dyDescent="0.25">
      <c r="A50">
        <v>92</v>
      </c>
      <c r="B50">
        <v>2819</v>
      </c>
      <c r="C50">
        <v>23</v>
      </c>
      <c r="D50">
        <v>12</v>
      </c>
      <c r="E50">
        <v>621</v>
      </c>
      <c r="F50">
        <v>44</v>
      </c>
      <c r="G50">
        <v>3611</v>
      </c>
    </row>
    <row r="51" spans="1:7" x14ac:dyDescent="0.25">
      <c r="A51">
        <v>91</v>
      </c>
      <c r="B51">
        <v>2819</v>
      </c>
      <c r="C51">
        <v>23</v>
      </c>
      <c r="D51">
        <v>11</v>
      </c>
      <c r="E51">
        <v>620</v>
      </c>
      <c r="F51">
        <v>44</v>
      </c>
      <c r="G51">
        <v>3608</v>
      </c>
    </row>
    <row r="52" spans="1:7" x14ac:dyDescent="0.25">
      <c r="A52">
        <v>90</v>
      </c>
      <c r="B52">
        <v>2823</v>
      </c>
      <c r="C52">
        <v>23</v>
      </c>
      <c r="D52">
        <v>12</v>
      </c>
      <c r="E52">
        <v>619</v>
      </c>
      <c r="F52">
        <v>43</v>
      </c>
      <c r="G52">
        <v>3610</v>
      </c>
    </row>
    <row r="53" spans="1:7" x14ac:dyDescent="0.25">
      <c r="A53">
        <v>91</v>
      </c>
      <c r="B53">
        <v>2818</v>
      </c>
      <c r="C53">
        <v>23</v>
      </c>
      <c r="D53">
        <v>10</v>
      </c>
      <c r="E53">
        <v>621</v>
      </c>
      <c r="F53">
        <v>44</v>
      </c>
      <c r="G53">
        <v>3607</v>
      </c>
    </row>
    <row r="54" spans="1:7" x14ac:dyDescent="0.25">
      <c r="A54">
        <v>89</v>
      </c>
      <c r="B54">
        <v>2820</v>
      </c>
      <c r="C54">
        <v>23</v>
      </c>
      <c r="D54">
        <v>11</v>
      </c>
      <c r="E54">
        <v>621</v>
      </c>
      <c r="F54">
        <v>44</v>
      </c>
      <c r="G54">
        <v>3608</v>
      </c>
    </row>
    <row r="55" spans="1:7" x14ac:dyDescent="0.25">
      <c r="A55">
        <v>90</v>
      </c>
      <c r="B55">
        <v>2823</v>
      </c>
      <c r="C55">
        <v>22</v>
      </c>
      <c r="D55">
        <v>12</v>
      </c>
      <c r="E55">
        <v>622</v>
      </c>
      <c r="F55">
        <v>44</v>
      </c>
      <c r="G55">
        <v>3613</v>
      </c>
    </row>
    <row r="56" spans="1:7" x14ac:dyDescent="0.25">
      <c r="A56">
        <v>90</v>
      </c>
      <c r="B56">
        <v>2820</v>
      </c>
      <c r="C56">
        <v>22</v>
      </c>
      <c r="D56">
        <v>11</v>
      </c>
      <c r="E56">
        <v>621</v>
      </c>
      <c r="F56">
        <v>43</v>
      </c>
      <c r="G56">
        <v>3607</v>
      </c>
    </row>
    <row r="57" spans="1:7" x14ac:dyDescent="0.25">
      <c r="A57">
        <v>91</v>
      </c>
      <c r="B57">
        <v>2821</v>
      </c>
      <c r="C57">
        <v>24</v>
      </c>
      <c r="D57">
        <v>11</v>
      </c>
      <c r="E57">
        <v>624</v>
      </c>
      <c r="F57">
        <v>44</v>
      </c>
      <c r="G57">
        <v>3615</v>
      </c>
    </row>
    <row r="58" spans="1:7" x14ac:dyDescent="0.25">
      <c r="A58">
        <v>89</v>
      </c>
      <c r="B58">
        <v>2825</v>
      </c>
      <c r="C58">
        <v>22</v>
      </c>
      <c r="D58">
        <v>12</v>
      </c>
      <c r="E58">
        <v>622</v>
      </c>
      <c r="F58">
        <v>43</v>
      </c>
      <c r="G58">
        <v>3613</v>
      </c>
    </row>
    <row r="59" spans="1:7" x14ac:dyDescent="0.25">
      <c r="A59">
        <v>91</v>
      </c>
      <c r="B59">
        <v>2820</v>
      </c>
      <c r="C59">
        <v>24</v>
      </c>
      <c r="D59">
        <v>10</v>
      </c>
      <c r="E59">
        <v>619</v>
      </c>
      <c r="F59">
        <v>44</v>
      </c>
      <c r="G59">
        <v>3608</v>
      </c>
    </row>
    <row r="60" spans="1:7" x14ac:dyDescent="0.25">
      <c r="A60">
        <v>89</v>
      </c>
      <c r="B60">
        <v>2821</v>
      </c>
      <c r="C60">
        <v>24</v>
      </c>
      <c r="D60">
        <v>11</v>
      </c>
      <c r="E60">
        <v>618</v>
      </c>
      <c r="F60">
        <v>44</v>
      </c>
      <c r="G60">
        <v>3607</v>
      </c>
    </row>
    <row r="61" spans="1:7" x14ac:dyDescent="0.25">
      <c r="A61">
        <v>91</v>
      </c>
      <c r="B61">
        <v>2825</v>
      </c>
      <c r="C61">
        <v>23</v>
      </c>
      <c r="D61">
        <v>10</v>
      </c>
      <c r="E61">
        <v>619</v>
      </c>
      <c r="F61">
        <v>43</v>
      </c>
      <c r="G61">
        <v>3611</v>
      </c>
    </row>
    <row r="62" spans="1:7" x14ac:dyDescent="0.25">
      <c r="A62">
        <v>91</v>
      </c>
      <c r="B62">
        <v>2826</v>
      </c>
      <c r="C62">
        <v>23</v>
      </c>
      <c r="D62">
        <v>11</v>
      </c>
      <c r="E62">
        <v>620</v>
      </c>
      <c r="F62">
        <v>43</v>
      </c>
      <c r="G62">
        <v>3614</v>
      </c>
    </row>
    <row r="63" spans="1:7" x14ac:dyDescent="0.25">
      <c r="A63">
        <v>91</v>
      </c>
      <c r="B63">
        <v>2827</v>
      </c>
      <c r="C63">
        <v>23</v>
      </c>
      <c r="D63">
        <v>11</v>
      </c>
      <c r="E63">
        <v>616</v>
      </c>
      <c r="F63">
        <v>44</v>
      </c>
      <c r="G63">
        <v>3612</v>
      </c>
    </row>
    <row r="64" spans="1:7" x14ac:dyDescent="0.25">
      <c r="A64">
        <v>91</v>
      </c>
      <c r="B64">
        <v>2826</v>
      </c>
      <c r="C64">
        <v>23</v>
      </c>
      <c r="D64">
        <v>12</v>
      </c>
      <c r="E64">
        <v>619</v>
      </c>
      <c r="F64">
        <v>43</v>
      </c>
      <c r="G64">
        <v>3614</v>
      </c>
    </row>
    <row r="65" spans="1:7" x14ac:dyDescent="0.25">
      <c r="A65">
        <v>92</v>
      </c>
      <c r="B65">
        <v>2827</v>
      </c>
      <c r="C65">
        <v>23</v>
      </c>
      <c r="D65">
        <v>11</v>
      </c>
      <c r="E65">
        <v>617</v>
      </c>
      <c r="F65">
        <v>43</v>
      </c>
      <c r="G65">
        <v>3613</v>
      </c>
    </row>
    <row r="66" spans="1:7" x14ac:dyDescent="0.25">
      <c r="A66">
        <v>91</v>
      </c>
      <c r="B66">
        <v>2831</v>
      </c>
      <c r="C66">
        <v>22</v>
      </c>
      <c r="D66">
        <v>12</v>
      </c>
      <c r="E66">
        <v>620</v>
      </c>
      <c r="F66">
        <v>44</v>
      </c>
      <c r="G66">
        <v>3620</v>
      </c>
    </row>
    <row r="67" spans="1:7" x14ac:dyDescent="0.25">
      <c r="A67">
        <v>90</v>
      </c>
      <c r="B67">
        <v>2828</v>
      </c>
      <c r="C67">
        <v>23</v>
      </c>
      <c r="D67">
        <v>10</v>
      </c>
      <c r="E67">
        <v>617</v>
      </c>
      <c r="F67">
        <v>44</v>
      </c>
      <c r="G67">
        <v>3612</v>
      </c>
    </row>
    <row r="68" spans="1:7" x14ac:dyDescent="0.25">
      <c r="A68">
        <v>91</v>
      </c>
      <c r="B68">
        <v>2830</v>
      </c>
      <c r="C68">
        <v>22</v>
      </c>
      <c r="D68">
        <v>12</v>
      </c>
      <c r="E68">
        <v>622</v>
      </c>
      <c r="F68">
        <v>43</v>
      </c>
      <c r="G68">
        <v>3620</v>
      </c>
    </row>
    <row r="69" spans="1:7" x14ac:dyDescent="0.25">
      <c r="A69">
        <v>91</v>
      </c>
      <c r="B69">
        <v>2832</v>
      </c>
      <c r="C69">
        <v>23</v>
      </c>
      <c r="D69">
        <v>11</v>
      </c>
      <c r="E69">
        <v>616</v>
      </c>
      <c r="F69">
        <v>44</v>
      </c>
      <c r="G69">
        <v>3617</v>
      </c>
    </row>
    <row r="70" spans="1:7" x14ac:dyDescent="0.25">
      <c r="A70">
        <v>90</v>
      </c>
      <c r="B70">
        <v>2831</v>
      </c>
      <c r="C70">
        <v>23</v>
      </c>
      <c r="D70">
        <v>12</v>
      </c>
      <c r="E70">
        <v>617</v>
      </c>
      <c r="F70">
        <v>44</v>
      </c>
      <c r="G70">
        <v>3617</v>
      </c>
    </row>
    <row r="71" spans="1:7" x14ac:dyDescent="0.25">
      <c r="A71">
        <v>91</v>
      </c>
      <c r="B71">
        <v>2829</v>
      </c>
      <c r="C71">
        <v>23</v>
      </c>
      <c r="D71">
        <v>12</v>
      </c>
      <c r="E71">
        <v>619</v>
      </c>
      <c r="F71">
        <v>44</v>
      </c>
      <c r="G71">
        <v>3618</v>
      </c>
    </row>
    <row r="72" spans="1:7" x14ac:dyDescent="0.25">
      <c r="A72">
        <v>90</v>
      </c>
      <c r="B72">
        <v>2835</v>
      </c>
      <c r="C72">
        <v>23</v>
      </c>
      <c r="D72">
        <v>11</v>
      </c>
      <c r="E72">
        <v>616</v>
      </c>
      <c r="F72">
        <v>43</v>
      </c>
      <c r="G72">
        <v>3618</v>
      </c>
    </row>
    <row r="73" spans="1:7" x14ac:dyDescent="0.25">
      <c r="A73">
        <v>92</v>
      </c>
      <c r="B73">
        <v>2832</v>
      </c>
      <c r="C73">
        <v>25</v>
      </c>
      <c r="D73">
        <v>11</v>
      </c>
      <c r="E73">
        <v>618</v>
      </c>
      <c r="F73">
        <v>43</v>
      </c>
      <c r="G73">
        <v>3621</v>
      </c>
    </row>
    <row r="74" spans="1:7" x14ac:dyDescent="0.25">
      <c r="A74">
        <v>91</v>
      </c>
      <c r="B74">
        <v>2879</v>
      </c>
      <c r="C74">
        <v>24</v>
      </c>
      <c r="D74">
        <v>10</v>
      </c>
      <c r="E74">
        <v>618</v>
      </c>
      <c r="F74">
        <v>44</v>
      </c>
      <c r="G74">
        <v>3666</v>
      </c>
    </row>
    <row r="75" spans="1:7" x14ac:dyDescent="0.25">
      <c r="A75">
        <v>90</v>
      </c>
      <c r="B75">
        <v>2886</v>
      </c>
      <c r="C75">
        <v>24</v>
      </c>
      <c r="D75">
        <v>11</v>
      </c>
      <c r="E75">
        <v>621</v>
      </c>
      <c r="F75">
        <v>44</v>
      </c>
      <c r="G75">
        <v>3676</v>
      </c>
    </row>
    <row r="76" spans="1:7" x14ac:dyDescent="0.25">
      <c r="A76">
        <v>91</v>
      </c>
      <c r="B76">
        <v>2878</v>
      </c>
      <c r="C76">
        <v>23</v>
      </c>
      <c r="D76">
        <v>12</v>
      </c>
      <c r="E76">
        <v>618</v>
      </c>
      <c r="F76">
        <v>44</v>
      </c>
      <c r="G76">
        <v>3666</v>
      </c>
    </row>
    <row r="77" spans="1:7" x14ac:dyDescent="0.25">
      <c r="A77">
        <v>92</v>
      </c>
      <c r="B77">
        <v>2837</v>
      </c>
      <c r="C77">
        <v>24</v>
      </c>
      <c r="D77">
        <v>11</v>
      </c>
      <c r="E77">
        <v>626</v>
      </c>
      <c r="F77">
        <v>44</v>
      </c>
      <c r="G77">
        <v>3634</v>
      </c>
    </row>
    <row r="78" spans="1:7" x14ac:dyDescent="0.25">
      <c r="A78">
        <v>92</v>
      </c>
      <c r="B78">
        <v>2906</v>
      </c>
      <c r="C78">
        <v>25</v>
      </c>
      <c r="D78">
        <v>11</v>
      </c>
      <c r="E78">
        <v>623</v>
      </c>
      <c r="F78">
        <v>43</v>
      </c>
      <c r="G78">
        <v>3700</v>
      </c>
    </row>
    <row r="79" spans="1:7" x14ac:dyDescent="0.25">
      <c r="A79">
        <v>91</v>
      </c>
      <c r="B79">
        <v>2905</v>
      </c>
      <c r="C79">
        <v>23</v>
      </c>
      <c r="D79">
        <v>12</v>
      </c>
      <c r="E79">
        <v>623</v>
      </c>
      <c r="F79">
        <v>44</v>
      </c>
      <c r="G79">
        <v>3698</v>
      </c>
    </row>
    <row r="80" spans="1:7" x14ac:dyDescent="0.25">
      <c r="A80">
        <v>90</v>
      </c>
      <c r="B80">
        <v>2896</v>
      </c>
      <c r="C80">
        <v>24</v>
      </c>
      <c r="D80">
        <v>11</v>
      </c>
      <c r="E80">
        <v>619</v>
      </c>
      <c r="F80">
        <v>44</v>
      </c>
      <c r="G80">
        <v>3684</v>
      </c>
    </row>
    <row r="81" spans="1:7" x14ac:dyDescent="0.25">
      <c r="A81">
        <v>92</v>
      </c>
      <c r="B81">
        <v>2910</v>
      </c>
      <c r="C81">
        <v>24</v>
      </c>
      <c r="D81">
        <v>12</v>
      </c>
      <c r="E81">
        <v>626</v>
      </c>
      <c r="F81">
        <v>44</v>
      </c>
      <c r="G81">
        <v>3708</v>
      </c>
    </row>
    <row r="82" spans="1:7" x14ac:dyDescent="0.25">
      <c r="A82">
        <v>91</v>
      </c>
      <c r="B82">
        <v>2921</v>
      </c>
      <c r="C82">
        <v>24</v>
      </c>
      <c r="D82">
        <v>12</v>
      </c>
      <c r="E82">
        <v>618</v>
      </c>
      <c r="F82">
        <v>44</v>
      </c>
      <c r="G82">
        <v>3710</v>
      </c>
    </row>
    <row r="83" spans="1:7" x14ac:dyDescent="0.25">
      <c r="A83">
        <v>91</v>
      </c>
      <c r="B83">
        <v>2900</v>
      </c>
      <c r="C83">
        <v>24</v>
      </c>
      <c r="D83">
        <v>12</v>
      </c>
      <c r="E83">
        <v>620</v>
      </c>
      <c r="F83">
        <v>44</v>
      </c>
      <c r="G83">
        <v>3691</v>
      </c>
    </row>
    <row r="84" spans="1:7" x14ac:dyDescent="0.25">
      <c r="A84">
        <v>91</v>
      </c>
      <c r="B84">
        <v>2909</v>
      </c>
      <c r="C84">
        <v>24</v>
      </c>
      <c r="D84">
        <v>11</v>
      </c>
      <c r="E84">
        <v>616</v>
      </c>
      <c r="F84">
        <v>44</v>
      </c>
      <c r="G84">
        <v>3695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37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AVERAGE(Table22[clone])</f>
        <v>213.16666666666666</v>
      </c>
      <c r="B3" s="4">
        <f>AVERAGE(Table22[build])</f>
        <v>3064.3333333333335</v>
      </c>
      <c r="C3" s="4">
        <f>AVERAGE(Table22[package])</f>
        <v>28.833333333333332</v>
      </c>
      <c r="D3" s="4">
        <f>AVERAGE(Table22[packagetests])</f>
        <v>13.833333333333334</v>
      </c>
      <c r="E3" s="4">
        <f>AVERAGE(Table22[symbols])</f>
        <v>695.83333333333337</v>
      </c>
      <c r="F3" s="4">
        <f>AVERAGE(Table22[clobber])</f>
        <v>235.16666666666666</v>
      </c>
      <c r="G3" s="4">
        <f>AVERAGE(Table22[total])</f>
        <v>4251.166666666667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STDEV(Table22[clone])</f>
        <v>16.017698544630768</v>
      </c>
      <c r="B5" s="4">
        <f>STDEV(Table22[build])</f>
        <v>38.145336106353383</v>
      </c>
      <c r="C5" s="4">
        <f>STDEV(Table22[package])</f>
        <v>1.3291601358251257</v>
      </c>
      <c r="D5" s="4">
        <f>STDEV(Table22[packagetests])</f>
        <v>1.9407902170679476</v>
      </c>
      <c r="E5" s="4">
        <f>STDEV(Table22[symbols])</f>
        <v>23.540744819709222</v>
      </c>
      <c r="F5" s="4">
        <f>STDEV(Table22[clobber])</f>
        <v>4.6224091842530193</v>
      </c>
      <c r="G5" s="4">
        <f>STDEV(Table22[total])</f>
        <v>46.36988965553688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185</v>
      </c>
      <c r="B7">
        <v>3058</v>
      </c>
      <c r="C7">
        <v>28</v>
      </c>
      <c r="D7">
        <v>11</v>
      </c>
      <c r="E7">
        <v>724</v>
      </c>
      <c r="F7">
        <v>234</v>
      </c>
      <c r="G7">
        <v>4240</v>
      </c>
    </row>
    <row r="8" spans="1:7" x14ac:dyDescent="0.25">
      <c r="A8">
        <v>219</v>
      </c>
      <c r="B8">
        <v>3030</v>
      </c>
      <c r="C8">
        <v>28</v>
      </c>
      <c r="D8">
        <v>16</v>
      </c>
      <c r="E8">
        <v>695</v>
      </c>
      <c r="F8">
        <v>235</v>
      </c>
      <c r="G8">
        <v>4223</v>
      </c>
    </row>
    <row r="9" spans="1:7" x14ac:dyDescent="0.25">
      <c r="A9">
        <v>222</v>
      </c>
      <c r="B9">
        <v>3049</v>
      </c>
      <c r="C9">
        <v>30</v>
      </c>
      <c r="D9">
        <v>14</v>
      </c>
      <c r="E9">
        <v>692</v>
      </c>
      <c r="F9">
        <v>231</v>
      </c>
      <c r="G9">
        <v>4238</v>
      </c>
    </row>
    <row r="10" spans="1:7" x14ac:dyDescent="0.25">
      <c r="A10">
        <v>216</v>
      </c>
      <c r="B10">
        <v>3139</v>
      </c>
      <c r="C10">
        <v>30</v>
      </c>
      <c r="D10">
        <v>16</v>
      </c>
      <c r="E10">
        <v>693</v>
      </c>
      <c r="F10">
        <v>235</v>
      </c>
      <c r="G10">
        <v>4329</v>
      </c>
    </row>
    <row r="11" spans="1:7" x14ac:dyDescent="0.25">
      <c r="A11">
        <v>206</v>
      </c>
      <c r="B11">
        <v>3049</v>
      </c>
      <c r="C11">
        <v>30</v>
      </c>
      <c r="D11">
        <v>13</v>
      </c>
      <c r="E11">
        <v>656</v>
      </c>
      <c r="F11">
        <v>244</v>
      </c>
      <c r="G11">
        <v>4198</v>
      </c>
    </row>
    <row r="12" spans="1:7" x14ac:dyDescent="0.25">
      <c r="A12">
        <v>231</v>
      </c>
      <c r="B12">
        <v>3061</v>
      </c>
      <c r="C12">
        <v>27</v>
      </c>
      <c r="D12">
        <v>13</v>
      </c>
      <c r="E12">
        <v>715</v>
      </c>
      <c r="F12">
        <v>232</v>
      </c>
      <c r="G12">
        <v>4279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5" sqref="I2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38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4">
        <f>AVERAGE(Table23[clone])</f>
        <v>182.4</v>
      </c>
      <c r="B3" s="4">
        <f>AVERAGE(Table23[build])</f>
        <v>3824.8</v>
      </c>
      <c r="C3" s="4">
        <f>AVERAGE(Table23[package])</f>
        <v>37.200000000000003</v>
      </c>
      <c r="D3" s="4">
        <f>AVERAGE(Table23[packagetests])</f>
        <v>20.2</v>
      </c>
      <c r="E3" s="4">
        <f>AVERAGE(Table23[symbols])</f>
        <v>842.9</v>
      </c>
      <c r="F3" s="4">
        <f>AVERAGE(Table23[clobber])</f>
        <v>166</v>
      </c>
      <c r="G3" s="4">
        <f>AVERAGE(Table23[total])</f>
        <v>5073.5</v>
      </c>
    </row>
    <row r="4" spans="1:7" x14ac:dyDescent="0.25">
      <c r="A4" s="12" t="s">
        <v>1</v>
      </c>
      <c r="B4" s="12"/>
      <c r="C4" s="12"/>
      <c r="D4" s="12"/>
      <c r="E4" s="12"/>
      <c r="F4" s="12"/>
      <c r="G4" s="12"/>
    </row>
    <row r="5" spans="1:7" x14ac:dyDescent="0.25">
      <c r="A5" s="4">
        <f>STDEV(Table23[clone])</f>
        <v>19.155503995805834</v>
      </c>
      <c r="B5" s="4">
        <f>STDEV(Table23[build])</f>
        <v>52.547967504832087</v>
      </c>
      <c r="C5" s="4">
        <f>STDEV(Table23[package])</f>
        <v>1.6193277068654828</v>
      </c>
      <c r="D5" s="4">
        <f>STDEV(Table23[packagetests])</f>
        <v>3.583914681524162</v>
      </c>
      <c r="E5" s="4">
        <f>STDEV(Table23[symbols])</f>
        <v>19.421923465792752</v>
      </c>
      <c r="F5" s="4">
        <f>STDEV(Table23[clobber])</f>
        <v>7.1647284200682257</v>
      </c>
      <c r="G5" s="4">
        <f>STDEV(Table23[total])</f>
        <v>76.638038133089552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130</v>
      </c>
      <c r="B7">
        <v>3746</v>
      </c>
      <c r="C7">
        <v>35</v>
      </c>
      <c r="D7">
        <v>18</v>
      </c>
      <c r="E7">
        <v>850</v>
      </c>
      <c r="F7">
        <v>159</v>
      </c>
      <c r="G7">
        <v>4938</v>
      </c>
    </row>
    <row r="8" spans="1:7" x14ac:dyDescent="0.25">
      <c r="A8">
        <v>189</v>
      </c>
      <c r="B8">
        <v>3751</v>
      </c>
      <c r="C8">
        <v>37</v>
      </c>
      <c r="D8">
        <v>17</v>
      </c>
      <c r="E8">
        <v>839</v>
      </c>
      <c r="F8">
        <v>180</v>
      </c>
      <c r="G8">
        <v>5013</v>
      </c>
    </row>
    <row r="9" spans="1:7" x14ac:dyDescent="0.25">
      <c r="A9">
        <v>193</v>
      </c>
      <c r="B9">
        <v>3806</v>
      </c>
      <c r="C9">
        <v>38</v>
      </c>
      <c r="D9">
        <v>18</v>
      </c>
      <c r="E9">
        <v>820</v>
      </c>
      <c r="F9">
        <v>161</v>
      </c>
      <c r="G9">
        <v>5036</v>
      </c>
    </row>
    <row r="10" spans="1:7" x14ac:dyDescent="0.25">
      <c r="A10">
        <v>185</v>
      </c>
      <c r="B10">
        <v>3815</v>
      </c>
      <c r="C10">
        <v>35</v>
      </c>
      <c r="D10">
        <v>25</v>
      </c>
      <c r="E10">
        <v>835</v>
      </c>
      <c r="F10">
        <v>163</v>
      </c>
      <c r="G10">
        <v>5058</v>
      </c>
    </row>
    <row r="11" spans="1:7" x14ac:dyDescent="0.25">
      <c r="A11">
        <v>182</v>
      </c>
      <c r="B11">
        <v>3800</v>
      </c>
      <c r="C11">
        <v>38</v>
      </c>
      <c r="D11">
        <v>18</v>
      </c>
      <c r="E11">
        <v>822</v>
      </c>
      <c r="F11">
        <v>162</v>
      </c>
      <c r="G11">
        <v>5022</v>
      </c>
    </row>
    <row r="12" spans="1:7" x14ac:dyDescent="0.25">
      <c r="A12">
        <v>190</v>
      </c>
      <c r="B12">
        <v>3899</v>
      </c>
      <c r="C12">
        <v>39</v>
      </c>
      <c r="D12">
        <v>20</v>
      </c>
      <c r="E12">
        <v>851</v>
      </c>
      <c r="F12">
        <v>159</v>
      </c>
      <c r="G12">
        <v>5158</v>
      </c>
    </row>
    <row r="13" spans="1:7" x14ac:dyDescent="0.25">
      <c r="A13">
        <v>182</v>
      </c>
      <c r="B13">
        <v>3857</v>
      </c>
      <c r="C13">
        <v>39</v>
      </c>
      <c r="D13">
        <v>19</v>
      </c>
      <c r="E13">
        <v>849</v>
      </c>
      <c r="F13">
        <v>164</v>
      </c>
      <c r="G13">
        <v>5110</v>
      </c>
    </row>
    <row r="14" spans="1:7" x14ac:dyDescent="0.25">
      <c r="A14">
        <v>190</v>
      </c>
      <c r="B14">
        <v>3894</v>
      </c>
      <c r="C14">
        <v>36</v>
      </c>
      <c r="D14">
        <v>21</v>
      </c>
      <c r="E14">
        <v>889</v>
      </c>
      <c r="F14">
        <v>165</v>
      </c>
      <c r="G14">
        <v>5195</v>
      </c>
    </row>
    <row r="15" spans="1:7" x14ac:dyDescent="0.25">
      <c r="A15">
        <v>199</v>
      </c>
      <c r="B15">
        <v>3853</v>
      </c>
      <c r="C15">
        <v>39</v>
      </c>
      <c r="D15">
        <v>28</v>
      </c>
      <c r="E15">
        <v>839</v>
      </c>
      <c r="F15">
        <v>173</v>
      </c>
      <c r="G15">
        <v>5131</v>
      </c>
    </row>
    <row r="16" spans="1:7" x14ac:dyDescent="0.25">
      <c r="A16">
        <v>184</v>
      </c>
      <c r="B16">
        <v>3827</v>
      </c>
      <c r="C16">
        <v>36</v>
      </c>
      <c r="D16">
        <v>18</v>
      </c>
      <c r="E16">
        <v>835</v>
      </c>
      <c r="F16">
        <v>174</v>
      </c>
      <c r="G16">
        <v>5074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E4" sqref="E4"/>
    </sheetView>
  </sheetViews>
  <sheetFormatPr defaultRowHeight="15" x14ac:dyDescent="0.25"/>
  <sheetData>
    <row r="4" spans="1:3" x14ac:dyDescent="0.25">
      <c r="B4" t="s">
        <v>3</v>
      </c>
      <c r="C4" t="s">
        <v>6</v>
      </c>
    </row>
    <row r="5" spans="1:3" x14ac:dyDescent="0.25">
      <c r="A5" t="str">
        <f>'quad-i7-ssd-j12'!A1:G1</f>
        <v>Quad i7 2.0 GHz SSD -j12</v>
      </c>
      <c r="B5" s="5">
        <f>1-('moz2-darwin10-data'!A$22 - 'quad-i7-ssd-j12'!$B$3) / 'moz2-darwin10-data'!A$22</f>
        <v>0.25900883679778042</v>
      </c>
      <c r="C5" s="5">
        <f>1-('moz2-darwin10-data'!B$22 - 'quad-i7-ssd-j8'!$E$3) / 'moz2-darwin10-data'!B$22</f>
        <v>0.48981282012097427</v>
      </c>
    </row>
    <row r="6" spans="1:3" x14ac:dyDescent="0.25">
      <c r="A6" t="str">
        <f>'dual-i7-ssd-j4'!A1:G1</f>
        <v>Dual i7 2.7GHz SSD -j4</v>
      </c>
      <c r="B6" s="5">
        <f>1-('moz2-darwin10-data'!A$22 - 'dual-i7-ssd-j4'!B4) / 'moz2-darwin10-data'!A$22</f>
        <v>0.30593209950712486</v>
      </c>
      <c r="C6" s="5">
        <f>1-('moz2-darwin10-data'!B$22 - 'dual-i7-ssd-j4'!E4) / 'moz2-darwin10-data'!B$22</f>
        <v>0.4143741381051157</v>
      </c>
    </row>
    <row r="7" spans="1:3" x14ac:dyDescent="0.25">
      <c r="A7" t="str">
        <f>'dual-i7-hd-j4'!A1:G1</f>
        <v>Dual i7 2.7GHz 7200rpm -j4</v>
      </c>
      <c r="B7" s="5">
        <f>1-('moz2-darwin10-data'!A$22-'dual-i7-hd-j4'!B4)/'moz2-darwin10-data'!A$22</f>
        <v>0.31968484184651813</v>
      </c>
      <c r="C7" s="5">
        <f>1-('moz2-darwin10-data'!B$22-'dual-i7-hd-j4'!E4)/'moz2-darwin10-data'!B$22</f>
        <v>0.44648740883707705</v>
      </c>
    </row>
    <row r="8" spans="1:3" x14ac:dyDescent="0.25">
      <c r="A8" t="str">
        <f>'dual-i5-hd-j4'!A1:G1</f>
        <v>Dual i5 2.3 GHz 5400rpm -j4</v>
      </c>
      <c r="B8" s="5">
        <f>1-('moz2-darwin10-data'!A$22 - 'dual-i5-hd-j4'!B4 ) / 'moz2-darwin10-data'!A$22</f>
        <v>0.39084494002811765</v>
      </c>
      <c r="C8" s="5">
        <f>1-('moz2-darwin10-data'!B$22 - 'dual-i5-hd-j4'!E4 ) / 'moz2-darwin10-data'!B$22</f>
        <v>0.54911083635837221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4" sqref="F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M4" sqref="M4"/>
    </sheetView>
  </sheetViews>
  <sheetFormatPr defaultRowHeight="15" x14ac:dyDescent="0.25"/>
  <cols>
    <col min="1" max="1" width="8.42578125" bestFit="1" customWidth="1"/>
    <col min="2" max="2" width="9.140625" bestFit="1" customWidth="1"/>
    <col min="3" max="3" width="10.42578125" bestFit="1" customWidth="1"/>
    <col min="4" max="4" width="14.7109375" bestFit="1" customWidth="1"/>
    <col min="5" max="5" width="10.5703125" bestFit="1" customWidth="1"/>
    <col min="6" max="6" width="10" bestFit="1" customWidth="1"/>
    <col min="7" max="7" width="8.140625" bestFit="1" customWidth="1"/>
  </cols>
  <sheetData>
    <row r="1" spans="1:7" x14ac:dyDescent="0.25">
      <c r="A1" s="11" t="s">
        <v>14</v>
      </c>
      <c r="B1" s="11"/>
      <c r="C1" s="11"/>
      <c r="D1" s="11"/>
      <c r="E1" s="11"/>
      <c r="F1" s="11"/>
      <c r="G1" s="11"/>
    </row>
    <row r="2" spans="1: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5">
        <f>('dual-i7-hd-j4'!A4-'dual-i7-ssd-j4'!A4)/'dual-i7-hd-j4'!A4</f>
        <v>0.54604041093293909</v>
      </c>
      <c r="B3" s="5">
        <f>('dual-i7-hd-j4'!B4-'dual-i7-ssd-j4'!B4)/'dual-i7-hd-j4'!B4</f>
        <v>4.3019688578152984E-2</v>
      </c>
      <c r="C3" s="5">
        <f>('dual-i7-hd-j4'!C4-'dual-i7-ssd-j4'!C4)/'dual-i7-hd-j4'!C4</f>
        <v>0.18545100124047495</v>
      </c>
      <c r="D3" s="5">
        <f>('dual-i7-hd-j4'!D4-'dual-i7-ssd-j4'!D4)/'dual-i7-hd-j4'!D4</f>
        <v>0.25141840222715578</v>
      </c>
      <c r="E3" s="5">
        <f>('dual-i7-hd-j4'!E4-'dual-i7-ssd-j4'!E4)/'dual-i7-hd-j4'!E4</f>
        <v>7.1924247126259791E-2</v>
      </c>
      <c r="F3" s="5">
        <f>('dual-i7-hd-j4'!F4-'dual-i7-ssd-j4'!F4)/'dual-i7-hd-j4'!F4</f>
        <v>0.78650576806314509</v>
      </c>
      <c r="G3" s="5">
        <f>('dual-i7-hd-j4'!G4-'dual-i7-ssd-j4'!G4)/'dual-i7-hd-j4'!G4</f>
        <v>0.11133826973846213</v>
      </c>
    </row>
    <row r="6" spans="1:7" x14ac:dyDescent="0.25">
      <c r="A6" s="11" t="s">
        <v>15</v>
      </c>
      <c r="B6" s="11"/>
      <c r="C6" s="11"/>
      <c r="D6" s="11"/>
      <c r="E6" s="11"/>
      <c r="F6" s="11"/>
      <c r="G6" s="11"/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 s="6">
        <f>'dual-i7-hd-j4'!A4-'dual-i7-ssd-j4'!A4</f>
        <v>106.6962962962963</v>
      </c>
      <c r="B8" s="6">
        <f>'dual-i7-hd-j4'!B4-'dual-i7-ssd-j4'!B4</f>
        <v>125.90498084291175</v>
      </c>
      <c r="C8" s="6">
        <f>'dual-i7-hd-j4'!C4-'dual-i7-ssd-j4'!C4</f>
        <v>5.3461047254150706</v>
      </c>
      <c r="D8" s="6">
        <f>'dual-i7-hd-j4'!D4-'dual-i7-ssd-j4'!D4</f>
        <v>3.6446998722860791</v>
      </c>
      <c r="E8" s="6">
        <f>'dual-i7-hd-j4'!E4-'dual-i7-ssd-j4'!E4</f>
        <v>46.530523627075354</v>
      </c>
      <c r="F8" s="6">
        <f>'dual-i7-hd-j4'!F4-'dual-i7-ssd-j4'!F4</f>
        <v>158.81992337164752</v>
      </c>
      <c r="G8" s="6">
        <f>'dual-i7-hd-j4'!G4-'dual-i7-ssd-j4'!G4</f>
        <v>446.9425287356321</v>
      </c>
    </row>
    <row r="9" spans="1:7" x14ac:dyDescent="0.25">
      <c r="A9" s="6"/>
      <c r="B9" s="6"/>
      <c r="C9" s="6"/>
      <c r="D9" s="6"/>
      <c r="E9" s="6"/>
      <c r="F9" s="6"/>
      <c r="G9" s="6"/>
    </row>
  </sheetData>
  <mergeCells count="2">
    <mergeCell ref="A1:G1"/>
    <mergeCell ref="A6:G6"/>
  </mergeCells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workbookViewId="0">
      <selection activeCell="F25" sqref="F25"/>
    </sheetView>
  </sheetViews>
  <sheetFormatPr defaultRowHeight="15" x14ac:dyDescent="0.25"/>
  <cols>
    <col min="1" max="1" width="29.85546875" bestFit="1" customWidth="1"/>
    <col min="2" max="2" width="20.5703125" bestFit="1" customWidth="1"/>
    <col min="3" max="4" width="20.5703125" customWidth="1"/>
    <col min="5" max="5" width="17.5703125" bestFit="1" customWidth="1"/>
    <col min="7" max="7" width="10.140625" bestFit="1" customWidth="1"/>
  </cols>
  <sheetData>
    <row r="2" spans="1:16" x14ac:dyDescent="0.25">
      <c r="A2" s="7" t="s">
        <v>40</v>
      </c>
      <c r="B2" s="7" t="s">
        <v>49</v>
      </c>
      <c r="C2" s="7" t="s">
        <v>50</v>
      </c>
      <c r="D2" s="7" t="s">
        <v>53</v>
      </c>
      <c r="E2" s="7" t="s">
        <v>51</v>
      </c>
      <c r="F2" s="7" t="s">
        <v>41</v>
      </c>
      <c r="G2" s="7" t="s">
        <v>52</v>
      </c>
      <c r="H2" s="7"/>
      <c r="I2" s="7"/>
      <c r="J2" s="7"/>
      <c r="K2" s="7"/>
      <c r="L2" s="7"/>
      <c r="N2" s="7"/>
      <c r="O2" s="7"/>
      <c r="P2" s="7"/>
    </row>
    <row r="3" spans="1:16" x14ac:dyDescent="0.25">
      <c r="A3" t="s">
        <v>35</v>
      </c>
      <c r="B3" s="9">
        <f>'quad-i7-ssd-j12'!$B$3</f>
        <v>2371.1999999999998</v>
      </c>
      <c r="C3" s="9">
        <f>24*3600</f>
        <v>86400</v>
      </c>
      <c r="D3" s="9">
        <v>345</v>
      </c>
      <c r="E3">
        <f>(B3*D3)/C3</f>
        <v>9.4683333333333319</v>
      </c>
      <c r="F3" s="8">
        <v>1599</v>
      </c>
      <c r="G3" s="8">
        <f>F3*E3</f>
        <v>15139.864999999998</v>
      </c>
    </row>
    <row r="4" spans="1:16" x14ac:dyDescent="0.25">
      <c r="A4" t="s">
        <v>47</v>
      </c>
      <c r="B4" s="9">
        <f>'dual-i7-ssd-j4'!$B$4</f>
        <v>2800.7777777777778</v>
      </c>
      <c r="C4" s="9">
        <f t="shared" ref="C4:C7" si="0">24*3600</f>
        <v>86400</v>
      </c>
      <c r="D4" s="9">
        <v>345</v>
      </c>
      <c r="E4">
        <f t="shared" ref="E4:E7" si="1">(B4*D4)/C4</f>
        <v>11.183661265432098</v>
      </c>
      <c r="F4" s="8">
        <v>1699</v>
      </c>
      <c r="G4" s="8">
        <f t="shared" ref="G4:G7" si="2">F4*E4</f>
        <v>19001.040489969135</v>
      </c>
    </row>
    <row r="5" spans="1:16" x14ac:dyDescent="0.25">
      <c r="A5" t="s">
        <v>48</v>
      </c>
      <c r="B5" s="9">
        <f>'dual-i7-hd-j4'!$B$4</f>
        <v>2926.6827586206896</v>
      </c>
      <c r="C5" s="9">
        <f t="shared" si="0"/>
        <v>86400</v>
      </c>
      <c r="D5" s="9">
        <v>345</v>
      </c>
      <c r="E5">
        <f t="shared" si="1"/>
        <v>11.686406848659002</v>
      </c>
      <c r="F5" s="8">
        <v>1249</v>
      </c>
      <c r="G5" s="8">
        <f t="shared" si="2"/>
        <v>14596.322153975094</v>
      </c>
    </row>
    <row r="6" spans="1:16" x14ac:dyDescent="0.25">
      <c r="A6" t="s">
        <v>12</v>
      </c>
      <c r="B6" s="9">
        <f>'dual-i5-hd-j4'!$B$4</f>
        <v>3578.1463414634145</v>
      </c>
      <c r="C6" s="9">
        <f t="shared" si="0"/>
        <v>86400</v>
      </c>
      <c r="D6" s="9">
        <v>345</v>
      </c>
      <c r="E6">
        <f t="shared" si="1"/>
        <v>14.287737127371274</v>
      </c>
      <c r="F6" s="8">
        <v>899</v>
      </c>
      <c r="G6" s="8">
        <f t="shared" si="2"/>
        <v>12844.675677506775</v>
      </c>
    </row>
    <row r="7" spans="1:16" x14ac:dyDescent="0.25">
      <c r="A7" t="s">
        <v>20</v>
      </c>
      <c r="B7">
        <f>'moz2-darwin10-data'!$A$22</f>
        <v>9154.9</v>
      </c>
      <c r="C7" s="9">
        <f t="shared" si="0"/>
        <v>86400</v>
      </c>
      <c r="D7" s="9">
        <v>345</v>
      </c>
      <c r="E7">
        <f t="shared" si="1"/>
        <v>36.556024305555553</v>
      </c>
      <c r="F7" s="10">
        <v>0</v>
      </c>
      <c r="G7" s="8">
        <f t="shared" si="2"/>
        <v>0</v>
      </c>
    </row>
    <row r="10" spans="1:16" x14ac:dyDescent="0.25">
      <c r="D10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27</v>
      </c>
      <c r="B1" s="11"/>
      <c r="C1" s="11"/>
      <c r="D1" s="11"/>
      <c r="E1" s="11"/>
      <c r="F1" s="11"/>
      <c r="G1" s="11"/>
    </row>
    <row r="3" spans="1:7" x14ac:dyDescent="0.25">
      <c r="A3">
        <f>AVERAGE(Table12[clone])</f>
        <v>93.2</v>
      </c>
      <c r="B3">
        <f>AVERAGE(Table12[build])</f>
        <v>3634.4</v>
      </c>
      <c r="C3">
        <f>AVERAGE(Table12[package])</f>
        <v>22</v>
      </c>
      <c r="D3">
        <f>AVERAGE(Table12[packagetests])</f>
        <v>14.8</v>
      </c>
      <c r="E3">
        <f>AVERAGE(Table12[symbols])</f>
        <v>710.8</v>
      </c>
      <c r="F3">
        <f>AVERAGE(Table12[clobber])</f>
        <v>49</v>
      </c>
      <c r="G3">
        <f>AVERAGE(Table12[total])</f>
        <v>4524.2</v>
      </c>
    </row>
    <row r="5" spans="1:7" x14ac:dyDescent="0.25">
      <c r="A5">
        <f>STDEV(Table12[clone])</f>
        <v>4.2071367935925261</v>
      </c>
      <c r="B5">
        <f>STDEV(Table12[build])</f>
        <v>8.9610267268879422</v>
      </c>
      <c r="C5">
        <f>STDEV(Table12[package])</f>
        <v>0.70710678118654757</v>
      </c>
      <c r="D5">
        <f>STDEV(Table12[packagetests])</f>
        <v>0.44721359549995793</v>
      </c>
      <c r="E5">
        <f>STDEV(Table12[symbols])</f>
        <v>2.16794833886788</v>
      </c>
      <c r="F5">
        <f>STDEV(Table12[clobber])</f>
        <v>0</v>
      </c>
      <c r="G5">
        <f>STDEV(Table12[total])</f>
        <v>12.716131487209466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86</v>
      </c>
      <c r="B7">
        <v>3621</v>
      </c>
      <c r="C7">
        <v>22</v>
      </c>
      <c r="D7">
        <v>15</v>
      </c>
      <c r="E7">
        <v>710</v>
      </c>
      <c r="F7">
        <v>49</v>
      </c>
      <c r="G7">
        <v>4503</v>
      </c>
    </row>
    <row r="8" spans="1:7" x14ac:dyDescent="0.25">
      <c r="A8">
        <v>95</v>
      </c>
      <c r="B8">
        <v>3646</v>
      </c>
      <c r="C8">
        <v>22</v>
      </c>
      <c r="D8">
        <v>15</v>
      </c>
      <c r="E8">
        <v>709</v>
      </c>
      <c r="F8">
        <v>49</v>
      </c>
      <c r="G8">
        <v>4536</v>
      </c>
    </row>
    <row r="9" spans="1:7" x14ac:dyDescent="0.25">
      <c r="A9">
        <v>94</v>
      </c>
      <c r="B9">
        <v>3634</v>
      </c>
      <c r="C9">
        <v>22</v>
      </c>
      <c r="D9">
        <v>15</v>
      </c>
      <c r="E9">
        <v>709</v>
      </c>
      <c r="F9">
        <v>49</v>
      </c>
      <c r="G9">
        <v>4523</v>
      </c>
    </row>
    <row r="10" spans="1:7" x14ac:dyDescent="0.25">
      <c r="A10">
        <v>97</v>
      </c>
      <c r="B10">
        <v>3634</v>
      </c>
      <c r="C10">
        <v>21</v>
      </c>
      <c r="D10">
        <v>14</v>
      </c>
      <c r="E10">
        <v>714</v>
      </c>
      <c r="F10">
        <v>49</v>
      </c>
      <c r="G10">
        <v>4529</v>
      </c>
    </row>
    <row r="11" spans="1:7" x14ac:dyDescent="0.25">
      <c r="A11">
        <v>94</v>
      </c>
      <c r="B11">
        <v>3637</v>
      </c>
      <c r="C11">
        <v>23</v>
      </c>
      <c r="D11">
        <v>15</v>
      </c>
      <c r="E11">
        <v>712</v>
      </c>
      <c r="F11">
        <v>49</v>
      </c>
      <c r="G11">
        <v>4530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sqref="A1:G6"/>
    </sheetView>
  </sheetViews>
  <sheetFormatPr defaultRowHeight="15" x14ac:dyDescent="0.25"/>
  <cols>
    <col min="1" max="2" width="12" style="1" bestFit="1" customWidth="1"/>
    <col min="3" max="3" width="12.7109375" style="1" bestFit="1" customWidth="1"/>
    <col min="4" max="4" width="17" style="1" bestFit="1" customWidth="1"/>
    <col min="5" max="5" width="12.85546875" style="1" bestFit="1" customWidth="1"/>
    <col min="6" max="6" width="12.28515625" style="1" bestFit="1" customWidth="1"/>
    <col min="7" max="7" width="12" style="1" bestFit="1" customWidth="1"/>
    <col min="8" max="16384" width="9.140625" style="1"/>
  </cols>
  <sheetData>
    <row r="1" spans="1:7" x14ac:dyDescent="0.25">
      <c r="A1" s="11" t="s">
        <v>10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 s="2" t="str">
        <f>quadi7ssdj4[[#Headers],[clone]]</f>
        <v>clone</v>
      </c>
      <c r="B3" s="2" t="str">
        <f>quadi7ssdj4[[#Headers],[build]]</f>
        <v>build</v>
      </c>
      <c r="C3" s="2" t="str">
        <f>quadi7ssdj4[[#Headers],[package]]</f>
        <v>package</v>
      </c>
      <c r="D3" s="2" t="str">
        <f>quadi7ssdj4[[#Headers],[packagetests]]</f>
        <v>packagetests</v>
      </c>
      <c r="E3" s="2" t="str">
        <f>quadi7ssdj4[[#Headers],[symbols]]</f>
        <v>symbols</v>
      </c>
      <c r="F3" s="2" t="str">
        <f>quadi7ssdj4[[#Headers],[clobber]]</f>
        <v>clobber</v>
      </c>
      <c r="G3" s="2" t="str">
        <f>quadi7ssdj4[[#Headers],[total]]</f>
        <v>total</v>
      </c>
    </row>
    <row r="4" spans="1:7" x14ac:dyDescent="0.25">
      <c r="A4" s="1">
        <f>AVERAGE(quadi7ssdj4[clone])</f>
        <v>94.827380952380949</v>
      </c>
      <c r="B4" s="1">
        <f>AVERAGE(quadi7ssdj4[build])</f>
        <v>2599.9404761904761</v>
      </c>
      <c r="C4" s="1">
        <f>AVERAGE(quadi7ssdj4[package])</f>
        <v>22.107142857142858</v>
      </c>
      <c r="D4" s="1">
        <f>AVERAGE(quadi7ssdj4[packagetests])</f>
        <v>12.654761904761905</v>
      </c>
      <c r="E4" s="1">
        <f>AVERAGE(quadi7ssdj4[symbols])</f>
        <v>702.05357142857144</v>
      </c>
      <c r="F4" s="1">
        <f>AVERAGE(quadi7ssdj4[clobber])</f>
        <v>47.696428571428569</v>
      </c>
      <c r="G4" s="1">
        <f>AVERAGE(quadi7ssdj4[total])</f>
        <v>3479.2797619047619</v>
      </c>
    </row>
    <row r="5" spans="1:7" x14ac:dyDescent="0.25">
      <c r="A5" s="12" t="s">
        <v>1</v>
      </c>
      <c r="B5" s="12"/>
      <c r="C5" s="12"/>
      <c r="D5" s="12"/>
      <c r="E5" s="12"/>
      <c r="F5" s="12"/>
      <c r="G5" s="12"/>
    </row>
    <row r="6" spans="1:7" x14ac:dyDescent="0.25">
      <c r="A6" s="1">
        <f>STDEV(quadi7ssdj4[clone])</f>
        <v>1.6120690903959012</v>
      </c>
      <c r="B6" s="1">
        <f>STDEV(quadi7ssdj4[build])</f>
        <v>17.106115578676732</v>
      </c>
      <c r="C6" s="1">
        <f>STDEV(quadi7ssdj4[package])</f>
        <v>0.56901758268945513</v>
      </c>
      <c r="D6" s="1">
        <f>STDEV(quadi7ssdj4[packagetests])</f>
        <v>0.86161035164453659</v>
      </c>
      <c r="E6" s="1">
        <f>STDEV(quadi7ssdj4[symbols])</f>
        <v>10.471666321639246</v>
      </c>
      <c r="F6" s="1">
        <f>STDEV(quadi7ssdj4[clobber])</f>
        <v>2.3079112275796851</v>
      </c>
      <c r="G6" s="1">
        <f>STDEV(quadi7ssdj4[total])</f>
        <v>24.693553086075458</v>
      </c>
    </row>
    <row r="7" spans="1:7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</row>
    <row r="8" spans="1:7" x14ac:dyDescent="0.25">
      <c r="A8" s="1">
        <v>87</v>
      </c>
      <c r="B8" s="1">
        <v>2599</v>
      </c>
      <c r="C8" s="1">
        <v>22</v>
      </c>
      <c r="D8" s="1">
        <v>13</v>
      </c>
      <c r="E8" s="1">
        <v>689</v>
      </c>
      <c r="F8" s="1">
        <v>48</v>
      </c>
      <c r="G8" s="1">
        <v>3458</v>
      </c>
    </row>
    <row r="9" spans="1:7" x14ac:dyDescent="0.25">
      <c r="A9" s="1">
        <v>91</v>
      </c>
      <c r="B9" s="1">
        <v>2611</v>
      </c>
      <c r="C9" s="1">
        <v>23</v>
      </c>
      <c r="D9" s="1">
        <v>12</v>
      </c>
      <c r="E9" s="1">
        <v>689</v>
      </c>
      <c r="F9" s="1">
        <v>48</v>
      </c>
      <c r="G9" s="1">
        <v>3474</v>
      </c>
    </row>
    <row r="10" spans="1:7" x14ac:dyDescent="0.25">
      <c r="A10" s="1">
        <v>91</v>
      </c>
      <c r="B10" s="1">
        <v>2617</v>
      </c>
      <c r="C10" s="1">
        <v>23</v>
      </c>
      <c r="D10" s="1">
        <v>12</v>
      </c>
      <c r="E10" s="1">
        <v>690</v>
      </c>
      <c r="F10" s="1">
        <v>46</v>
      </c>
      <c r="G10" s="1">
        <v>3479</v>
      </c>
    </row>
    <row r="11" spans="1:7" x14ac:dyDescent="0.25">
      <c r="A11" s="1">
        <v>95</v>
      </c>
      <c r="B11" s="1">
        <v>2637</v>
      </c>
      <c r="C11" s="1">
        <v>22</v>
      </c>
      <c r="D11" s="1">
        <v>11</v>
      </c>
      <c r="E11" s="1">
        <v>691</v>
      </c>
      <c r="F11" s="1">
        <v>47</v>
      </c>
      <c r="G11" s="1">
        <v>3503</v>
      </c>
    </row>
    <row r="12" spans="1:7" x14ac:dyDescent="0.25">
      <c r="A12" s="1">
        <v>94</v>
      </c>
      <c r="B12" s="1">
        <v>2637</v>
      </c>
      <c r="C12" s="1">
        <v>22</v>
      </c>
      <c r="D12" s="1">
        <v>12</v>
      </c>
      <c r="E12" s="1">
        <v>687</v>
      </c>
      <c r="F12" s="1">
        <v>47</v>
      </c>
      <c r="G12" s="1">
        <v>3499</v>
      </c>
    </row>
    <row r="13" spans="1:7" x14ac:dyDescent="0.25">
      <c r="A13" s="1">
        <v>95</v>
      </c>
      <c r="B13" s="1">
        <v>2637</v>
      </c>
      <c r="C13" s="1">
        <v>23</v>
      </c>
      <c r="D13" s="1">
        <v>12</v>
      </c>
      <c r="E13" s="1">
        <v>690</v>
      </c>
      <c r="F13" s="1">
        <v>47</v>
      </c>
      <c r="G13" s="1">
        <v>3504</v>
      </c>
    </row>
    <row r="14" spans="1:7" x14ac:dyDescent="0.25">
      <c r="A14" s="1">
        <v>96</v>
      </c>
      <c r="B14" s="1">
        <v>2640</v>
      </c>
      <c r="C14" s="1">
        <v>22</v>
      </c>
      <c r="D14" s="1">
        <v>14</v>
      </c>
      <c r="E14" s="1">
        <v>688</v>
      </c>
      <c r="F14" s="1">
        <v>47</v>
      </c>
      <c r="G14" s="1">
        <v>3507</v>
      </c>
    </row>
    <row r="15" spans="1:7" x14ac:dyDescent="0.25">
      <c r="A15" s="1">
        <v>93</v>
      </c>
      <c r="B15" s="1">
        <v>2636</v>
      </c>
      <c r="C15" s="1">
        <v>23</v>
      </c>
      <c r="D15" s="1">
        <v>13</v>
      </c>
      <c r="E15" s="1">
        <v>693</v>
      </c>
      <c r="F15" s="1">
        <v>47</v>
      </c>
      <c r="G15" s="1">
        <v>3505</v>
      </c>
    </row>
    <row r="16" spans="1:7" x14ac:dyDescent="0.25">
      <c r="A16" s="1">
        <v>95</v>
      </c>
      <c r="B16" s="1">
        <v>2631</v>
      </c>
      <c r="C16" s="1">
        <v>22</v>
      </c>
      <c r="D16" s="1">
        <v>12</v>
      </c>
      <c r="E16" s="1">
        <v>691</v>
      </c>
      <c r="F16" s="1">
        <v>47</v>
      </c>
      <c r="G16" s="1">
        <v>3498</v>
      </c>
    </row>
    <row r="17" spans="1:7" x14ac:dyDescent="0.25">
      <c r="A17" s="1">
        <v>94</v>
      </c>
      <c r="B17" s="1">
        <v>2580</v>
      </c>
      <c r="C17" s="1">
        <v>22</v>
      </c>
      <c r="D17" s="1">
        <v>12</v>
      </c>
      <c r="E17" s="1">
        <v>695</v>
      </c>
      <c r="F17" s="1">
        <v>47</v>
      </c>
      <c r="G17" s="1">
        <v>3450</v>
      </c>
    </row>
    <row r="18" spans="1:7" x14ac:dyDescent="0.25">
      <c r="A18" s="1">
        <v>94</v>
      </c>
      <c r="B18" s="1">
        <v>2584</v>
      </c>
      <c r="C18" s="1">
        <v>21</v>
      </c>
      <c r="D18" s="1">
        <v>12</v>
      </c>
      <c r="E18" s="1">
        <v>690</v>
      </c>
      <c r="F18" s="1">
        <v>47</v>
      </c>
      <c r="G18" s="1">
        <v>3448</v>
      </c>
    </row>
    <row r="19" spans="1:7" x14ac:dyDescent="0.25">
      <c r="A19" s="1">
        <v>95</v>
      </c>
      <c r="B19" s="1">
        <v>2582</v>
      </c>
      <c r="C19" s="1">
        <v>22</v>
      </c>
      <c r="D19" s="1">
        <v>13</v>
      </c>
      <c r="E19" s="1">
        <v>695</v>
      </c>
      <c r="F19" s="1">
        <v>47</v>
      </c>
      <c r="G19" s="1">
        <v>3454</v>
      </c>
    </row>
    <row r="20" spans="1:7" x14ac:dyDescent="0.25">
      <c r="A20" s="1">
        <v>96</v>
      </c>
      <c r="B20" s="1">
        <v>2588</v>
      </c>
      <c r="C20" s="1">
        <v>22</v>
      </c>
      <c r="D20" s="1">
        <v>13</v>
      </c>
      <c r="E20" s="1">
        <v>685</v>
      </c>
      <c r="F20" s="1">
        <v>47</v>
      </c>
      <c r="G20" s="1">
        <v>3451</v>
      </c>
    </row>
    <row r="21" spans="1:7" x14ac:dyDescent="0.25">
      <c r="A21" s="1">
        <v>95</v>
      </c>
      <c r="B21" s="1">
        <v>2579</v>
      </c>
      <c r="C21" s="1">
        <v>22</v>
      </c>
      <c r="D21" s="1">
        <v>12</v>
      </c>
      <c r="E21" s="1">
        <v>688</v>
      </c>
      <c r="F21" s="1">
        <v>48</v>
      </c>
      <c r="G21" s="1">
        <v>3444</v>
      </c>
    </row>
    <row r="22" spans="1:7" x14ac:dyDescent="0.25">
      <c r="A22" s="1">
        <v>95</v>
      </c>
      <c r="B22" s="1">
        <v>2581</v>
      </c>
      <c r="C22" s="1">
        <v>22</v>
      </c>
      <c r="D22" s="1">
        <v>13</v>
      </c>
      <c r="E22" s="1">
        <v>694</v>
      </c>
      <c r="F22" s="1">
        <v>47</v>
      </c>
      <c r="G22" s="1">
        <v>3452</v>
      </c>
    </row>
    <row r="23" spans="1:7" x14ac:dyDescent="0.25">
      <c r="A23" s="1">
        <v>95</v>
      </c>
      <c r="B23" s="1">
        <v>2586</v>
      </c>
      <c r="C23" s="1">
        <v>21</v>
      </c>
      <c r="D23" s="1">
        <v>12</v>
      </c>
      <c r="E23" s="1">
        <v>692</v>
      </c>
      <c r="F23" s="1">
        <v>47</v>
      </c>
      <c r="G23" s="1">
        <v>3453</v>
      </c>
    </row>
    <row r="24" spans="1:7" x14ac:dyDescent="0.25">
      <c r="A24" s="1">
        <v>95</v>
      </c>
      <c r="B24" s="1">
        <v>2604</v>
      </c>
      <c r="C24" s="1">
        <v>21</v>
      </c>
      <c r="D24" s="1">
        <v>13</v>
      </c>
      <c r="E24" s="1">
        <v>686</v>
      </c>
      <c r="F24" s="1">
        <v>47</v>
      </c>
      <c r="G24" s="1">
        <v>3466</v>
      </c>
    </row>
    <row r="25" spans="1:7" x14ac:dyDescent="0.25">
      <c r="A25" s="1">
        <v>95</v>
      </c>
      <c r="B25" s="1">
        <v>2582</v>
      </c>
      <c r="C25" s="1">
        <v>22</v>
      </c>
      <c r="D25" s="1">
        <v>13</v>
      </c>
      <c r="E25" s="1">
        <v>690</v>
      </c>
      <c r="F25" s="1">
        <v>46</v>
      </c>
      <c r="G25" s="1">
        <v>3448</v>
      </c>
    </row>
    <row r="26" spans="1:7" x14ac:dyDescent="0.25">
      <c r="A26" s="1">
        <v>94</v>
      </c>
      <c r="B26" s="1">
        <v>2585</v>
      </c>
      <c r="C26" s="1">
        <v>23</v>
      </c>
      <c r="D26" s="1">
        <v>13</v>
      </c>
      <c r="E26" s="1">
        <v>689</v>
      </c>
      <c r="F26" s="1">
        <v>47</v>
      </c>
      <c r="G26" s="1">
        <v>3451</v>
      </c>
    </row>
    <row r="27" spans="1:7" x14ac:dyDescent="0.25">
      <c r="A27" s="1">
        <v>93</v>
      </c>
      <c r="B27" s="1">
        <v>2582</v>
      </c>
      <c r="C27" s="1">
        <v>21</v>
      </c>
      <c r="D27" s="1">
        <v>13</v>
      </c>
      <c r="E27" s="1">
        <v>687</v>
      </c>
      <c r="F27" s="1">
        <v>47</v>
      </c>
      <c r="G27" s="1">
        <v>3443</v>
      </c>
    </row>
    <row r="28" spans="1:7" x14ac:dyDescent="0.25">
      <c r="A28" s="1">
        <v>94</v>
      </c>
      <c r="B28" s="1">
        <v>2584</v>
      </c>
      <c r="C28" s="1">
        <v>22</v>
      </c>
      <c r="D28" s="1">
        <v>12</v>
      </c>
      <c r="E28" s="1">
        <v>689</v>
      </c>
      <c r="F28" s="1">
        <v>47</v>
      </c>
      <c r="G28" s="1">
        <v>3448</v>
      </c>
    </row>
    <row r="29" spans="1:7" x14ac:dyDescent="0.25">
      <c r="A29" s="1">
        <v>96</v>
      </c>
      <c r="B29" s="1">
        <v>2585</v>
      </c>
      <c r="C29" s="1">
        <v>22</v>
      </c>
      <c r="D29" s="1">
        <v>13</v>
      </c>
      <c r="E29" s="1">
        <v>687</v>
      </c>
      <c r="F29" s="1">
        <v>47</v>
      </c>
      <c r="G29" s="1">
        <v>3450</v>
      </c>
    </row>
    <row r="30" spans="1:7" x14ac:dyDescent="0.25">
      <c r="A30" s="1">
        <v>94</v>
      </c>
      <c r="B30" s="1">
        <v>2583</v>
      </c>
      <c r="C30" s="1">
        <v>22</v>
      </c>
      <c r="D30" s="1">
        <v>12</v>
      </c>
      <c r="E30" s="1">
        <v>689</v>
      </c>
      <c r="F30" s="1">
        <v>46</v>
      </c>
      <c r="G30" s="1">
        <v>3446</v>
      </c>
    </row>
    <row r="31" spans="1:7" x14ac:dyDescent="0.25">
      <c r="A31" s="1">
        <v>95</v>
      </c>
      <c r="B31" s="1">
        <v>2581</v>
      </c>
      <c r="C31" s="1">
        <v>22</v>
      </c>
      <c r="D31" s="1">
        <v>13</v>
      </c>
      <c r="E31" s="1">
        <v>693</v>
      </c>
      <c r="F31" s="1">
        <v>47</v>
      </c>
      <c r="G31" s="1">
        <v>3451</v>
      </c>
    </row>
    <row r="32" spans="1:7" x14ac:dyDescent="0.25">
      <c r="A32" s="1">
        <v>94</v>
      </c>
      <c r="B32" s="1">
        <v>2580</v>
      </c>
      <c r="C32" s="1">
        <v>21</v>
      </c>
      <c r="D32" s="1">
        <v>12</v>
      </c>
      <c r="E32" s="1">
        <v>692</v>
      </c>
      <c r="F32" s="1">
        <v>47</v>
      </c>
      <c r="G32" s="1">
        <v>3446</v>
      </c>
    </row>
    <row r="33" spans="1:7" x14ac:dyDescent="0.25">
      <c r="A33" s="1">
        <v>92</v>
      </c>
      <c r="B33" s="1">
        <v>2577</v>
      </c>
      <c r="C33" s="1">
        <v>22</v>
      </c>
      <c r="D33" s="1">
        <v>12</v>
      </c>
      <c r="E33" s="1">
        <v>693</v>
      </c>
      <c r="F33" s="1">
        <v>47</v>
      </c>
      <c r="G33" s="1">
        <v>3443</v>
      </c>
    </row>
    <row r="34" spans="1:7" x14ac:dyDescent="0.25">
      <c r="A34" s="1">
        <v>93</v>
      </c>
      <c r="B34" s="1">
        <v>2579</v>
      </c>
      <c r="C34" s="1">
        <v>22</v>
      </c>
      <c r="D34" s="1">
        <v>12</v>
      </c>
      <c r="E34" s="1">
        <v>698</v>
      </c>
      <c r="F34" s="1">
        <v>46</v>
      </c>
      <c r="G34" s="1">
        <v>3450</v>
      </c>
    </row>
    <row r="35" spans="1:7" x14ac:dyDescent="0.25">
      <c r="A35" s="1">
        <v>92</v>
      </c>
      <c r="B35" s="1">
        <v>2581</v>
      </c>
      <c r="C35" s="1">
        <v>23</v>
      </c>
      <c r="D35" s="1">
        <v>12</v>
      </c>
      <c r="E35" s="1">
        <v>696</v>
      </c>
      <c r="F35" s="1">
        <v>47</v>
      </c>
      <c r="G35" s="1">
        <v>3451</v>
      </c>
    </row>
    <row r="36" spans="1:7" x14ac:dyDescent="0.25">
      <c r="A36" s="1">
        <v>92</v>
      </c>
      <c r="B36" s="1">
        <v>2577</v>
      </c>
      <c r="C36" s="1">
        <v>23</v>
      </c>
      <c r="D36" s="1">
        <v>12</v>
      </c>
      <c r="E36" s="1">
        <v>693</v>
      </c>
      <c r="F36" s="1">
        <v>47</v>
      </c>
      <c r="G36" s="1">
        <v>3444</v>
      </c>
    </row>
    <row r="37" spans="1:7" x14ac:dyDescent="0.25">
      <c r="A37" s="1">
        <v>96</v>
      </c>
      <c r="B37" s="1">
        <v>2597</v>
      </c>
      <c r="C37" s="1">
        <v>22</v>
      </c>
      <c r="D37" s="1">
        <v>11</v>
      </c>
      <c r="E37" s="1">
        <v>687</v>
      </c>
      <c r="F37" s="1">
        <v>47</v>
      </c>
      <c r="G37" s="1">
        <v>3460</v>
      </c>
    </row>
    <row r="38" spans="1:7" x14ac:dyDescent="0.25">
      <c r="A38" s="1">
        <v>94</v>
      </c>
      <c r="B38" s="1">
        <v>2593</v>
      </c>
      <c r="C38" s="1">
        <v>23</v>
      </c>
      <c r="D38" s="1">
        <v>12</v>
      </c>
      <c r="E38" s="1">
        <v>689</v>
      </c>
      <c r="F38" s="1">
        <v>46</v>
      </c>
      <c r="G38" s="1">
        <v>3457</v>
      </c>
    </row>
    <row r="39" spans="1:7" x14ac:dyDescent="0.25">
      <c r="A39" s="1">
        <v>99</v>
      </c>
      <c r="B39" s="1">
        <v>2589</v>
      </c>
      <c r="C39" s="1">
        <v>22</v>
      </c>
      <c r="D39" s="1">
        <v>13</v>
      </c>
      <c r="E39" s="1">
        <v>685</v>
      </c>
      <c r="F39" s="1">
        <v>47</v>
      </c>
      <c r="G39" s="1">
        <v>3455</v>
      </c>
    </row>
    <row r="40" spans="1:7" x14ac:dyDescent="0.25">
      <c r="A40" s="1">
        <v>95</v>
      </c>
      <c r="B40" s="1">
        <v>2580</v>
      </c>
      <c r="C40" s="1">
        <v>23</v>
      </c>
      <c r="D40" s="1">
        <v>12</v>
      </c>
      <c r="E40" s="1">
        <v>690</v>
      </c>
      <c r="F40" s="1">
        <v>46</v>
      </c>
      <c r="G40" s="1">
        <v>3446</v>
      </c>
    </row>
    <row r="41" spans="1:7" x14ac:dyDescent="0.25">
      <c r="A41" s="1">
        <v>94</v>
      </c>
      <c r="B41" s="1">
        <v>2583</v>
      </c>
      <c r="C41" s="1">
        <v>22</v>
      </c>
      <c r="D41" s="1">
        <v>13</v>
      </c>
      <c r="E41" s="1">
        <v>692</v>
      </c>
      <c r="F41" s="1">
        <v>47</v>
      </c>
      <c r="G41" s="1">
        <v>3451</v>
      </c>
    </row>
    <row r="42" spans="1:7" x14ac:dyDescent="0.25">
      <c r="A42" s="1">
        <v>95</v>
      </c>
      <c r="B42" s="1">
        <v>2582</v>
      </c>
      <c r="C42" s="1">
        <v>22</v>
      </c>
      <c r="D42" s="1">
        <v>12</v>
      </c>
      <c r="E42" s="1">
        <v>693</v>
      </c>
      <c r="F42" s="1">
        <v>47</v>
      </c>
      <c r="G42" s="1">
        <v>3451</v>
      </c>
    </row>
    <row r="43" spans="1:7" x14ac:dyDescent="0.25">
      <c r="A43" s="1">
        <v>94</v>
      </c>
      <c r="B43" s="1">
        <v>2582</v>
      </c>
      <c r="C43" s="1">
        <v>21</v>
      </c>
      <c r="D43" s="1">
        <v>13</v>
      </c>
      <c r="E43" s="1">
        <v>688</v>
      </c>
      <c r="F43" s="1">
        <v>47</v>
      </c>
      <c r="G43" s="1">
        <v>3445</v>
      </c>
    </row>
    <row r="44" spans="1:7" x14ac:dyDescent="0.25">
      <c r="A44" s="1">
        <v>95</v>
      </c>
      <c r="B44" s="1">
        <v>2588</v>
      </c>
      <c r="C44" s="1">
        <v>21</v>
      </c>
      <c r="D44" s="1">
        <v>12</v>
      </c>
      <c r="E44" s="1">
        <v>689</v>
      </c>
      <c r="F44" s="1">
        <v>47</v>
      </c>
      <c r="G44" s="1">
        <v>3452</v>
      </c>
    </row>
    <row r="45" spans="1:7" x14ac:dyDescent="0.25">
      <c r="A45" s="1">
        <v>95</v>
      </c>
      <c r="B45" s="1">
        <v>2585</v>
      </c>
      <c r="C45" s="1">
        <v>22</v>
      </c>
      <c r="D45" s="1">
        <v>13</v>
      </c>
      <c r="E45" s="1">
        <v>689</v>
      </c>
      <c r="F45" s="1">
        <v>47</v>
      </c>
      <c r="G45" s="1">
        <v>3451</v>
      </c>
    </row>
    <row r="46" spans="1:7" x14ac:dyDescent="0.25">
      <c r="A46" s="1">
        <v>95</v>
      </c>
      <c r="B46" s="1">
        <v>2584</v>
      </c>
      <c r="C46" s="1">
        <v>21</v>
      </c>
      <c r="D46" s="1">
        <v>14</v>
      </c>
      <c r="E46" s="1">
        <v>693</v>
      </c>
      <c r="F46" s="1">
        <v>47</v>
      </c>
      <c r="G46" s="1">
        <v>3454</v>
      </c>
    </row>
    <row r="47" spans="1:7" x14ac:dyDescent="0.25">
      <c r="A47" s="1">
        <v>96</v>
      </c>
      <c r="B47" s="1">
        <v>2584</v>
      </c>
      <c r="C47" s="1">
        <v>22</v>
      </c>
      <c r="D47" s="1">
        <v>12</v>
      </c>
      <c r="E47" s="1">
        <v>685</v>
      </c>
      <c r="F47" s="1">
        <v>47</v>
      </c>
      <c r="G47" s="1">
        <v>3446</v>
      </c>
    </row>
    <row r="48" spans="1:7" x14ac:dyDescent="0.25">
      <c r="A48" s="1">
        <v>94</v>
      </c>
      <c r="B48" s="1">
        <v>2579</v>
      </c>
      <c r="C48" s="1">
        <v>22</v>
      </c>
      <c r="D48" s="1">
        <v>13</v>
      </c>
      <c r="E48" s="1">
        <v>689</v>
      </c>
      <c r="F48" s="1">
        <v>47</v>
      </c>
      <c r="G48" s="1">
        <v>3444</v>
      </c>
    </row>
    <row r="49" spans="1:7" x14ac:dyDescent="0.25">
      <c r="A49" s="1">
        <v>95</v>
      </c>
      <c r="B49" s="1">
        <v>2584</v>
      </c>
      <c r="C49" s="1">
        <v>22</v>
      </c>
      <c r="D49" s="1">
        <v>12</v>
      </c>
      <c r="E49" s="1">
        <v>703</v>
      </c>
      <c r="F49" s="1">
        <v>47</v>
      </c>
      <c r="G49" s="1">
        <v>3463</v>
      </c>
    </row>
    <row r="50" spans="1:7" x14ac:dyDescent="0.25">
      <c r="A50" s="1">
        <v>95</v>
      </c>
      <c r="B50" s="1">
        <v>2581</v>
      </c>
      <c r="C50" s="1">
        <v>21</v>
      </c>
      <c r="D50" s="1">
        <v>14</v>
      </c>
      <c r="E50" s="1">
        <v>686</v>
      </c>
      <c r="F50" s="1">
        <v>47</v>
      </c>
      <c r="G50" s="1">
        <v>3444</v>
      </c>
    </row>
    <row r="51" spans="1:7" x14ac:dyDescent="0.25">
      <c r="A51" s="1">
        <v>94</v>
      </c>
      <c r="B51" s="1">
        <v>2585</v>
      </c>
      <c r="C51" s="1">
        <v>21</v>
      </c>
      <c r="D51" s="1">
        <v>12</v>
      </c>
      <c r="E51" s="1">
        <v>695</v>
      </c>
      <c r="F51" s="1">
        <v>47</v>
      </c>
      <c r="G51" s="1">
        <v>3454</v>
      </c>
    </row>
    <row r="52" spans="1:7" x14ac:dyDescent="0.25">
      <c r="A52" s="1">
        <v>94</v>
      </c>
      <c r="B52" s="1">
        <v>2580</v>
      </c>
      <c r="C52" s="1">
        <v>21</v>
      </c>
      <c r="D52" s="1">
        <v>14</v>
      </c>
      <c r="E52" s="1">
        <v>685</v>
      </c>
      <c r="F52" s="1">
        <v>47</v>
      </c>
      <c r="G52" s="1">
        <v>3441</v>
      </c>
    </row>
    <row r="53" spans="1:7" x14ac:dyDescent="0.25">
      <c r="A53" s="1">
        <v>95</v>
      </c>
      <c r="B53" s="1">
        <v>2581</v>
      </c>
      <c r="C53" s="1">
        <v>22</v>
      </c>
      <c r="D53" s="1">
        <v>12</v>
      </c>
      <c r="E53" s="1">
        <v>697</v>
      </c>
      <c r="F53" s="1">
        <v>47</v>
      </c>
      <c r="G53" s="1">
        <v>3454</v>
      </c>
    </row>
    <row r="54" spans="1:7" x14ac:dyDescent="0.25">
      <c r="A54" s="1">
        <v>93</v>
      </c>
      <c r="B54" s="1">
        <v>2577</v>
      </c>
      <c r="C54" s="1">
        <v>22</v>
      </c>
      <c r="D54" s="1">
        <v>14</v>
      </c>
      <c r="E54" s="1">
        <v>692</v>
      </c>
      <c r="F54" s="1">
        <v>47</v>
      </c>
      <c r="G54" s="1">
        <v>3445</v>
      </c>
    </row>
    <row r="55" spans="1:7" x14ac:dyDescent="0.25">
      <c r="A55" s="1">
        <v>94</v>
      </c>
      <c r="B55" s="1">
        <v>2578</v>
      </c>
      <c r="C55" s="1">
        <v>22</v>
      </c>
      <c r="D55" s="1">
        <v>11</v>
      </c>
      <c r="E55" s="1">
        <v>696</v>
      </c>
      <c r="F55" s="1">
        <v>47</v>
      </c>
      <c r="G55" s="1">
        <v>3448</v>
      </c>
    </row>
    <row r="56" spans="1:7" x14ac:dyDescent="0.25">
      <c r="A56" s="1">
        <v>94</v>
      </c>
      <c r="B56" s="1">
        <v>2580</v>
      </c>
      <c r="C56" s="1">
        <v>22</v>
      </c>
      <c r="D56" s="1">
        <v>11</v>
      </c>
      <c r="E56" s="1">
        <v>697</v>
      </c>
      <c r="F56" s="1">
        <v>47</v>
      </c>
      <c r="G56" s="1">
        <v>3451</v>
      </c>
    </row>
    <row r="57" spans="1:7" x14ac:dyDescent="0.25">
      <c r="A57" s="1">
        <v>92</v>
      </c>
      <c r="B57" s="1">
        <v>2577</v>
      </c>
      <c r="C57" s="1">
        <v>23</v>
      </c>
      <c r="D57" s="1">
        <v>12</v>
      </c>
      <c r="E57" s="1">
        <v>690</v>
      </c>
      <c r="F57" s="1">
        <v>47</v>
      </c>
      <c r="G57" s="1">
        <v>3441</v>
      </c>
    </row>
    <row r="58" spans="1:7" x14ac:dyDescent="0.25">
      <c r="A58" s="1">
        <v>93</v>
      </c>
      <c r="B58" s="1">
        <v>2579</v>
      </c>
      <c r="C58" s="1">
        <v>24</v>
      </c>
      <c r="D58" s="1">
        <v>11</v>
      </c>
      <c r="E58" s="1">
        <v>696</v>
      </c>
      <c r="F58" s="1">
        <v>47</v>
      </c>
      <c r="G58" s="1">
        <v>3450</v>
      </c>
    </row>
    <row r="59" spans="1:7" x14ac:dyDescent="0.25">
      <c r="A59" s="1">
        <v>93</v>
      </c>
      <c r="B59" s="1">
        <v>2577</v>
      </c>
      <c r="C59" s="1">
        <v>22</v>
      </c>
      <c r="D59" s="1">
        <v>13</v>
      </c>
      <c r="E59" s="1">
        <v>697</v>
      </c>
      <c r="F59" s="1">
        <v>47</v>
      </c>
      <c r="G59" s="1">
        <v>3449</v>
      </c>
    </row>
    <row r="60" spans="1:7" x14ac:dyDescent="0.25">
      <c r="A60" s="1">
        <v>93</v>
      </c>
      <c r="B60" s="1">
        <v>2582</v>
      </c>
      <c r="C60" s="1">
        <v>22</v>
      </c>
      <c r="D60" s="1">
        <v>12</v>
      </c>
      <c r="E60" s="1">
        <v>685</v>
      </c>
      <c r="F60" s="1">
        <v>47</v>
      </c>
      <c r="G60" s="1">
        <v>3441</v>
      </c>
    </row>
    <row r="61" spans="1:7" x14ac:dyDescent="0.25">
      <c r="A61" s="1">
        <v>96</v>
      </c>
      <c r="B61" s="1">
        <v>2596</v>
      </c>
      <c r="C61" s="1">
        <v>23</v>
      </c>
      <c r="D61" s="1">
        <v>13</v>
      </c>
      <c r="E61" s="1">
        <v>695</v>
      </c>
      <c r="F61" s="1">
        <v>47</v>
      </c>
      <c r="G61" s="1">
        <v>3470</v>
      </c>
    </row>
    <row r="62" spans="1:7" x14ac:dyDescent="0.25">
      <c r="A62" s="1">
        <v>95</v>
      </c>
      <c r="B62" s="1">
        <v>2600</v>
      </c>
      <c r="C62" s="1">
        <v>22</v>
      </c>
      <c r="D62" s="1">
        <v>14</v>
      </c>
      <c r="E62" s="1">
        <v>691</v>
      </c>
      <c r="F62" s="1">
        <v>47</v>
      </c>
      <c r="G62" s="1">
        <v>3469</v>
      </c>
    </row>
    <row r="63" spans="1:7" x14ac:dyDescent="0.25">
      <c r="A63" s="1">
        <v>100</v>
      </c>
      <c r="B63" s="1">
        <v>2590</v>
      </c>
      <c r="C63" s="1">
        <v>22</v>
      </c>
      <c r="D63" s="1">
        <v>12</v>
      </c>
      <c r="E63" s="1">
        <v>689</v>
      </c>
      <c r="F63" s="1">
        <v>48</v>
      </c>
      <c r="G63" s="1">
        <v>3461</v>
      </c>
    </row>
    <row r="64" spans="1:7" x14ac:dyDescent="0.25">
      <c r="A64" s="1">
        <v>94</v>
      </c>
      <c r="B64" s="1">
        <v>2582</v>
      </c>
      <c r="C64" s="1">
        <v>22</v>
      </c>
      <c r="D64" s="1">
        <v>13</v>
      </c>
      <c r="E64" s="1">
        <v>691</v>
      </c>
      <c r="F64" s="1">
        <v>47</v>
      </c>
      <c r="G64" s="1">
        <v>3449</v>
      </c>
    </row>
    <row r="65" spans="1:7" x14ac:dyDescent="0.25">
      <c r="A65" s="1">
        <v>96</v>
      </c>
      <c r="B65" s="1">
        <v>2589</v>
      </c>
      <c r="C65" s="1">
        <v>22</v>
      </c>
      <c r="D65" s="1">
        <v>12</v>
      </c>
      <c r="E65" s="1">
        <v>687</v>
      </c>
      <c r="F65" s="1">
        <v>47</v>
      </c>
      <c r="G65" s="1">
        <v>3453</v>
      </c>
    </row>
    <row r="66" spans="1:7" x14ac:dyDescent="0.25">
      <c r="A66" s="1">
        <v>95</v>
      </c>
      <c r="B66" s="1">
        <v>2584</v>
      </c>
      <c r="C66" s="1">
        <v>22</v>
      </c>
      <c r="D66" s="1">
        <v>13</v>
      </c>
      <c r="E66" s="1">
        <v>685</v>
      </c>
      <c r="F66" s="1">
        <v>47</v>
      </c>
      <c r="G66" s="1">
        <v>3446</v>
      </c>
    </row>
    <row r="67" spans="1:7" x14ac:dyDescent="0.25">
      <c r="A67" s="1">
        <v>97</v>
      </c>
      <c r="B67" s="1">
        <v>2587</v>
      </c>
      <c r="C67" s="1">
        <v>22</v>
      </c>
      <c r="D67" s="1">
        <v>13</v>
      </c>
      <c r="E67" s="1">
        <v>685</v>
      </c>
      <c r="F67" s="1">
        <v>47</v>
      </c>
      <c r="G67" s="1">
        <v>3451</v>
      </c>
    </row>
    <row r="68" spans="1:7" x14ac:dyDescent="0.25">
      <c r="A68" s="1">
        <v>96</v>
      </c>
      <c r="B68" s="1">
        <v>2586</v>
      </c>
      <c r="C68" s="1">
        <v>23</v>
      </c>
      <c r="D68" s="1">
        <v>12</v>
      </c>
      <c r="E68" s="1">
        <v>690</v>
      </c>
      <c r="F68" s="1">
        <v>46</v>
      </c>
      <c r="G68" s="1">
        <v>3453</v>
      </c>
    </row>
    <row r="69" spans="1:7" x14ac:dyDescent="0.25">
      <c r="A69" s="1">
        <v>95</v>
      </c>
      <c r="B69" s="1">
        <v>2585</v>
      </c>
      <c r="C69" s="1">
        <v>22</v>
      </c>
      <c r="D69" s="1">
        <v>13</v>
      </c>
      <c r="E69" s="1">
        <v>692</v>
      </c>
      <c r="F69" s="1">
        <v>46</v>
      </c>
      <c r="G69" s="1">
        <v>3453</v>
      </c>
    </row>
    <row r="70" spans="1:7" x14ac:dyDescent="0.25">
      <c r="A70" s="1">
        <v>95</v>
      </c>
      <c r="B70" s="1">
        <v>2587</v>
      </c>
      <c r="C70" s="1">
        <v>22</v>
      </c>
      <c r="D70" s="1">
        <v>12</v>
      </c>
      <c r="E70" s="1">
        <v>690</v>
      </c>
      <c r="F70" s="1">
        <v>47</v>
      </c>
      <c r="G70" s="1">
        <v>3453</v>
      </c>
    </row>
    <row r="71" spans="1:7" x14ac:dyDescent="0.25">
      <c r="A71" s="1">
        <v>95</v>
      </c>
      <c r="B71" s="1">
        <v>2589</v>
      </c>
      <c r="C71" s="1">
        <v>21</v>
      </c>
      <c r="D71" s="1">
        <v>14</v>
      </c>
      <c r="E71" s="1">
        <v>691</v>
      </c>
      <c r="F71" s="1">
        <v>47</v>
      </c>
      <c r="G71" s="1">
        <v>3457</v>
      </c>
    </row>
    <row r="72" spans="1:7" x14ac:dyDescent="0.25">
      <c r="A72" s="1">
        <v>95</v>
      </c>
      <c r="B72" s="1">
        <v>2585</v>
      </c>
      <c r="C72" s="1">
        <v>21</v>
      </c>
      <c r="D72" s="1">
        <v>12</v>
      </c>
      <c r="E72" s="1">
        <v>691</v>
      </c>
      <c r="F72" s="1">
        <v>48</v>
      </c>
      <c r="G72" s="1">
        <v>3452</v>
      </c>
    </row>
    <row r="73" spans="1:7" x14ac:dyDescent="0.25">
      <c r="A73" s="1">
        <v>95</v>
      </c>
      <c r="B73" s="1">
        <v>2586</v>
      </c>
      <c r="C73" s="1">
        <v>22</v>
      </c>
      <c r="D73" s="1">
        <v>13</v>
      </c>
      <c r="E73" s="1">
        <v>693</v>
      </c>
      <c r="F73" s="1">
        <v>48</v>
      </c>
      <c r="G73" s="1">
        <v>3457</v>
      </c>
    </row>
    <row r="74" spans="1:7" x14ac:dyDescent="0.25">
      <c r="A74" s="1">
        <v>95</v>
      </c>
      <c r="B74" s="1">
        <v>2585</v>
      </c>
      <c r="C74" s="1">
        <v>22</v>
      </c>
      <c r="D74" s="1">
        <v>12</v>
      </c>
      <c r="E74" s="1">
        <v>695</v>
      </c>
      <c r="F74" s="1">
        <v>47</v>
      </c>
      <c r="G74" s="1">
        <v>3456</v>
      </c>
    </row>
    <row r="75" spans="1:7" x14ac:dyDescent="0.25">
      <c r="A75" s="1">
        <v>95</v>
      </c>
      <c r="B75" s="1">
        <v>2582</v>
      </c>
      <c r="C75" s="1">
        <v>22</v>
      </c>
      <c r="D75" s="1">
        <v>13</v>
      </c>
      <c r="E75" s="1">
        <v>700</v>
      </c>
      <c r="F75" s="1">
        <v>47</v>
      </c>
      <c r="G75" s="1">
        <v>3459</v>
      </c>
    </row>
    <row r="76" spans="1:7" x14ac:dyDescent="0.25">
      <c r="A76" s="1">
        <v>95</v>
      </c>
      <c r="B76" s="1">
        <v>2581</v>
      </c>
      <c r="C76" s="1">
        <v>22</v>
      </c>
      <c r="D76" s="1">
        <v>12</v>
      </c>
      <c r="E76" s="1">
        <v>706</v>
      </c>
      <c r="F76" s="1">
        <v>47</v>
      </c>
      <c r="G76" s="1">
        <v>3463</v>
      </c>
    </row>
    <row r="77" spans="1:7" x14ac:dyDescent="0.25">
      <c r="A77" s="1">
        <v>95</v>
      </c>
      <c r="B77" s="1">
        <v>2582</v>
      </c>
      <c r="C77" s="1">
        <v>22</v>
      </c>
      <c r="D77" s="1">
        <v>14</v>
      </c>
      <c r="E77" s="1">
        <v>707</v>
      </c>
      <c r="F77" s="1">
        <v>47</v>
      </c>
      <c r="G77" s="1">
        <v>3467</v>
      </c>
    </row>
    <row r="78" spans="1:7" x14ac:dyDescent="0.25">
      <c r="A78" s="1">
        <v>96</v>
      </c>
      <c r="B78" s="1">
        <v>2584</v>
      </c>
      <c r="C78" s="1">
        <v>22</v>
      </c>
      <c r="D78" s="1">
        <v>13</v>
      </c>
      <c r="E78" s="1">
        <v>705</v>
      </c>
      <c r="F78" s="1">
        <v>47</v>
      </c>
      <c r="G78" s="1">
        <v>3467</v>
      </c>
    </row>
    <row r="79" spans="1:7" x14ac:dyDescent="0.25">
      <c r="A79" s="1">
        <v>95</v>
      </c>
      <c r="B79" s="1">
        <v>2595</v>
      </c>
      <c r="C79" s="1">
        <v>22</v>
      </c>
      <c r="D79" s="1">
        <v>13</v>
      </c>
      <c r="E79" s="1">
        <v>713</v>
      </c>
      <c r="F79" s="1">
        <v>47</v>
      </c>
      <c r="G79" s="1">
        <v>3485</v>
      </c>
    </row>
    <row r="80" spans="1:7" x14ac:dyDescent="0.25">
      <c r="A80" s="1">
        <v>93</v>
      </c>
      <c r="B80" s="1">
        <v>2581</v>
      </c>
      <c r="C80" s="1">
        <v>22</v>
      </c>
      <c r="D80" s="1">
        <v>11</v>
      </c>
      <c r="E80" s="1">
        <v>708</v>
      </c>
      <c r="F80" s="1">
        <v>47</v>
      </c>
      <c r="G80" s="1">
        <v>3462</v>
      </c>
    </row>
    <row r="81" spans="1:7" x14ac:dyDescent="0.25">
      <c r="A81" s="1">
        <v>92</v>
      </c>
      <c r="B81" s="1">
        <v>2582</v>
      </c>
      <c r="C81" s="1">
        <v>22</v>
      </c>
      <c r="D81" s="1">
        <v>12</v>
      </c>
      <c r="E81" s="1">
        <v>712</v>
      </c>
      <c r="F81" s="1">
        <v>47</v>
      </c>
      <c r="G81" s="1">
        <v>3467</v>
      </c>
    </row>
    <row r="82" spans="1:7" x14ac:dyDescent="0.25">
      <c r="A82" s="1">
        <v>94</v>
      </c>
      <c r="B82" s="1">
        <v>2583</v>
      </c>
      <c r="C82" s="1">
        <v>22</v>
      </c>
      <c r="D82" s="1">
        <v>12</v>
      </c>
      <c r="E82" s="1">
        <v>707</v>
      </c>
      <c r="F82" s="1">
        <v>47</v>
      </c>
      <c r="G82" s="1">
        <v>3465</v>
      </c>
    </row>
    <row r="83" spans="1:7" x14ac:dyDescent="0.25">
      <c r="A83" s="1">
        <v>94</v>
      </c>
      <c r="B83" s="1">
        <v>2586</v>
      </c>
      <c r="C83" s="1">
        <v>22</v>
      </c>
      <c r="D83" s="1">
        <v>12</v>
      </c>
      <c r="E83" s="1">
        <v>712</v>
      </c>
      <c r="F83" s="1">
        <v>48</v>
      </c>
      <c r="G83" s="1">
        <v>3474</v>
      </c>
    </row>
    <row r="84" spans="1:7" x14ac:dyDescent="0.25">
      <c r="A84" s="1">
        <v>93</v>
      </c>
      <c r="B84" s="1">
        <v>2582</v>
      </c>
      <c r="C84" s="1">
        <v>22</v>
      </c>
      <c r="D84" s="1">
        <v>12</v>
      </c>
      <c r="E84" s="1">
        <v>710</v>
      </c>
      <c r="F84" s="1">
        <v>48</v>
      </c>
      <c r="G84" s="1">
        <v>3467</v>
      </c>
    </row>
    <row r="85" spans="1:7" x14ac:dyDescent="0.25">
      <c r="A85" s="1">
        <v>92</v>
      </c>
      <c r="B85" s="1">
        <v>2582</v>
      </c>
      <c r="C85" s="1">
        <v>22</v>
      </c>
      <c r="D85" s="1">
        <v>13</v>
      </c>
      <c r="E85" s="1">
        <v>708</v>
      </c>
      <c r="F85" s="1">
        <v>59</v>
      </c>
      <c r="G85" s="1">
        <v>3476</v>
      </c>
    </row>
    <row r="86" spans="1:7" x14ac:dyDescent="0.25">
      <c r="A86" s="1">
        <v>95</v>
      </c>
      <c r="B86" s="1">
        <v>2581</v>
      </c>
      <c r="C86" s="1">
        <v>22</v>
      </c>
      <c r="D86" s="1">
        <v>13</v>
      </c>
      <c r="E86" s="1">
        <v>709</v>
      </c>
      <c r="F86" s="1">
        <v>48</v>
      </c>
      <c r="G86" s="1">
        <v>3468</v>
      </c>
    </row>
    <row r="87" spans="1:7" x14ac:dyDescent="0.25">
      <c r="A87" s="1">
        <v>95</v>
      </c>
      <c r="B87" s="1">
        <v>2607</v>
      </c>
      <c r="C87" s="1">
        <v>22</v>
      </c>
      <c r="D87" s="1">
        <v>11</v>
      </c>
      <c r="E87" s="1">
        <v>713</v>
      </c>
      <c r="F87" s="1">
        <v>47</v>
      </c>
      <c r="G87" s="1">
        <v>3495</v>
      </c>
    </row>
    <row r="88" spans="1:7" x14ac:dyDescent="0.25">
      <c r="A88" s="1">
        <v>95</v>
      </c>
      <c r="B88" s="1">
        <v>2598</v>
      </c>
      <c r="C88" s="1">
        <v>23</v>
      </c>
      <c r="D88" s="1">
        <v>13</v>
      </c>
      <c r="E88" s="1">
        <v>709</v>
      </c>
      <c r="F88" s="1">
        <v>47</v>
      </c>
      <c r="G88" s="1">
        <v>3485</v>
      </c>
    </row>
    <row r="89" spans="1:7" x14ac:dyDescent="0.25">
      <c r="A89" s="1">
        <v>95</v>
      </c>
      <c r="B89" s="1">
        <v>2599</v>
      </c>
      <c r="C89" s="1">
        <v>22</v>
      </c>
      <c r="D89" s="1">
        <v>12</v>
      </c>
      <c r="E89" s="1">
        <v>709</v>
      </c>
      <c r="F89" s="1">
        <v>47</v>
      </c>
      <c r="G89" s="1">
        <v>3484</v>
      </c>
    </row>
    <row r="90" spans="1:7" x14ac:dyDescent="0.25">
      <c r="A90" s="1">
        <v>97</v>
      </c>
      <c r="B90" s="1">
        <v>2594</v>
      </c>
      <c r="C90" s="1">
        <v>22</v>
      </c>
      <c r="D90" s="1">
        <v>12</v>
      </c>
      <c r="E90" s="1">
        <v>709</v>
      </c>
      <c r="F90" s="1">
        <v>48</v>
      </c>
      <c r="G90" s="1">
        <v>3482</v>
      </c>
    </row>
    <row r="91" spans="1:7" x14ac:dyDescent="0.25">
      <c r="A91" s="1">
        <v>95</v>
      </c>
      <c r="B91" s="1">
        <v>2589</v>
      </c>
      <c r="C91" s="1">
        <v>22</v>
      </c>
      <c r="D91" s="1">
        <v>13</v>
      </c>
      <c r="E91" s="1">
        <v>704</v>
      </c>
      <c r="F91" s="1">
        <v>47</v>
      </c>
      <c r="G91" s="1">
        <v>3470</v>
      </c>
    </row>
    <row r="92" spans="1:7" x14ac:dyDescent="0.25">
      <c r="A92" s="1">
        <v>97</v>
      </c>
      <c r="B92" s="1">
        <v>2590</v>
      </c>
      <c r="C92" s="1">
        <v>23</v>
      </c>
      <c r="D92" s="1">
        <v>12</v>
      </c>
      <c r="E92" s="1">
        <v>707</v>
      </c>
      <c r="F92" s="1">
        <v>47</v>
      </c>
      <c r="G92" s="1">
        <v>3476</v>
      </c>
    </row>
    <row r="93" spans="1:7" x14ac:dyDescent="0.25">
      <c r="A93" s="1">
        <v>96</v>
      </c>
      <c r="B93" s="1">
        <v>2594</v>
      </c>
      <c r="C93" s="1">
        <v>22</v>
      </c>
      <c r="D93" s="1">
        <v>13</v>
      </c>
      <c r="E93" s="1">
        <v>702</v>
      </c>
      <c r="F93" s="1">
        <v>47</v>
      </c>
      <c r="G93" s="1">
        <v>3474</v>
      </c>
    </row>
    <row r="94" spans="1:7" x14ac:dyDescent="0.25">
      <c r="A94" s="1">
        <v>96</v>
      </c>
      <c r="B94" s="1">
        <v>2593</v>
      </c>
      <c r="C94" s="1">
        <v>21</v>
      </c>
      <c r="D94" s="1">
        <v>14</v>
      </c>
      <c r="E94" s="1">
        <v>710</v>
      </c>
      <c r="F94" s="1">
        <v>48</v>
      </c>
      <c r="G94" s="1">
        <v>3482</v>
      </c>
    </row>
    <row r="95" spans="1:7" x14ac:dyDescent="0.25">
      <c r="A95" s="1">
        <v>96</v>
      </c>
      <c r="B95" s="1">
        <v>2592</v>
      </c>
      <c r="C95" s="1">
        <v>22</v>
      </c>
      <c r="D95" s="1">
        <v>13</v>
      </c>
      <c r="E95" s="1">
        <v>706</v>
      </c>
      <c r="F95" s="1">
        <v>47</v>
      </c>
      <c r="G95" s="1">
        <v>3476</v>
      </c>
    </row>
    <row r="96" spans="1:7" x14ac:dyDescent="0.25">
      <c r="A96" s="1">
        <v>96</v>
      </c>
      <c r="B96" s="1">
        <v>2591</v>
      </c>
      <c r="C96" s="1">
        <v>22</v>
      </c>
      <c r="D96" s="1">
        <v>13</v>
      </c>
      <c r="E96" s="1">
        <v>704</v>
      </c>
      <c r="F96" s="1">
        <v>48</v>
      </c>
      <c r="G96" s="1">
        <v>3474</v>
      </c>
    </row>
    <row r="97" spans="1:7" x14ac:dyDescent="0.25">
      <c r="A97" s="1">
        <v>95</v>
      </c>
      <c r="B97" s="1">
        <v>2591</v>
      </c>
      <c r="C97" s="1">
        <v>22</v>
      </c>
      <c r="D97" s="1">
        <v>12</v>
      </c>
      <c r="E97" s="1">
        <v>707</v>
      </c>
      <c r="F97" s="1">
        <v>48</v>
      </c>
      <c r="G97" s="1">
        <v>3475</v>
      </c>
    </row>
    <row r="98" spans="1:7" x14ac:dyDescent="0.25">
      <c r="A98" s="1">
        <v>96</v>
      </c>
      <c r="B98" s="1">
        <v>2595</v>
      </c>
      <c r="C98" s="1">
        <v>21</v>
      </c>
      <c r="D98" s="1">
        <v>14</v>
      </c>
      <c r="E98" s="1">
        <v>704</v>
      </c>
      <c r="F98" s="1">
        <v>48</v>
      </c>
      <c r="G98" s="1">
        <v>3478</v>
      </c>
    </row>
    <row r="99" spans="1:7" x14ac:dyDescent="0.25">
      <c r="A99" s="1">
        <v>95</v>
      </c>
      <c r="B99" s="1">
        <v>2596</v>
      </c>
      <c r="C99" s="1">
        <v>22</v>
      </c>
      <c r="D99" s="1">
        <v>13</v>
      </c>
      <c r="E99" s="1">
        <v>703</v>
      </c>
      <c r="F99" s="1">
        <v>48</v>
      </c>
      <c r="G99" s="1">
        <v>3477</v>
      </c>
    </row>
    <row r="100" spans="1:7" x14ac:dyDescent="0.25">
      <c r="A100" s="1">
        <v>96</v>
      </c>
      <c r="B100" s="1">
        <v>2592</v>
      </c>
      <c r="C100" s="1">
        <v>23</v>
      </c>
      <c r="D100" s="1">
        <v>14</v>
      </c>
      <c r="E100" s="1">
        <v>708</v>
      </c>
      <c r="F100" s="1">
        <v>47</v>
      </c>
      <c r="G100" s="1">
        <v>3480</v>
      </c>
    </row>
    <row r="101" spans="1:7" x14ac:dyDescent="0.25">
      <c r="A101" s="1">
        <v>96</v>
      </c>
      <c r="B101" s="1">
        <v>2588</v>
      </c>
      <c r="C101" s="1">
        <v>21</v>
      </c>
      <c r="D101" s="1">
        <v>14</v>
      </c>
      <c r="E101" s="1">
        <v>706</v>
      </c>
      <c r="F101" s="1">
        <v>48</v>
      </c>
      <c r="G101" s="1">
        <v>3473</v>
      </c>
    </row>
    <row r="102" spans="1:7" x14ac:dyDescent="0.25">
      <c r="A102" s="1">
        <v>95</v>
      </c>
      <c r="B102" s="1">
        <v>2593</v>
      </c>
      <c r="C102" s="1">
        <v>22</v>
      </c>
      <c r="D102" s="1">
        <v>12</v>
      </c>
      <c r="E102" s="1">
        <v>710</v>
      </c>
      <c r="F102" s="1">
        <v>48</v>
      </c>
      <c r="G102" s="1">
        <v>3480</v>
      </c>
    </row>
    <row r="103" spans="1:7" x14ac:dyDescent="0.25">
      <c r="A103" s="1">
        <v>93</v>
      </c>
      <c r="B103" s="1">
        <v>2592</v>
      </c>
      <c r="C103" s="1">
        <v>22</v>
      </c>
      <c r="D103" s="1">
        <v>14</v>
      </c>
      <c r="E103" s="1">
        <v>708</v>
      </c>
      <c r="F103" s="1">
        <v>47</v>
      </c>
      <c r="G103" s="1">
        <v>3476</v>
      </c>
    </row>
    <row r="104" spans="1:7" x14ac:dyDescent="0.25">
      <c r="A104" s="1">
        <v>95</v>
      </c>
      <c r="B104" s="1">
        <v>2597</v>
      </c>
      <c r="C104" s="1">
        <v>22</v>
      </c>
      <c r="D104" s="1">
        <v>14</v>
      </c>
      <c r="E104" s="1">
        <v>706</v>
      </c>
      <c r="F104" s="1">
        <v>48</v>
      </c>
      <c r="G104" s="1">
        <v>3482</v>
      </c>
    </row>
    <row r="105" spans="1:7" x14ac:dyDescent="0.25">
      <c r="A105" s="1">
        <v>95</v>
      </c>
      <c r="B105" s="1">
        <v>2598</v>
      </c>
      <c r="C105" s="1">
        <v>22</v>
      </c>
      <c r="D105" s="1">
        <v>13</v>
      </c>
      <c r="E105" s="1">
        <v>705</v>
      </c>
      <c r="F105" s="1">
        <v>48</v>
      </c>
      <c r="G105" s="1">
        <v>3481</v>
      </c>
    </row>
    <row r="106" spans="1:7" x14ac:dyDescent="0.25">
      <c r="A106" s="1">
        <v>95</v>
      </c>
      <c r="B106" s="1">
        <v>2595</v>
      </c>
      <c r="C106" s="1">
        <v>23</v>
      </c>
      <c r="D106" s="1">
        <v>13</v>
      </c>
      <c r="E106" s="1">
        <v>701</v>
      </c>
      <c r="F106" s="1">
        <v>48</v>
      </c>
      <c r="G106" s="1">
        <v>3475</v>
      </c>
    </row>
    <row r="107" spans="1:7" x14ac:dyDescent="0.25">
      <c r="A107" s="1">
        <v>96</v>
      </c>
      <c r="B107" s="1">
        <v>2600</v>
      </c>
      <c r="C107" s="1">
        <v>22</v>
      </c>
      <c r="D107" s="1">
        <v>14</v>
      </c>
      <c r="E107" s="1">
        <v>708</v>
      </c>
      <c r="F107" s="1">
        <v>47</v>
      </c>
      <c r="G107" s="1">
        <v>3487</v>
      </c>
    </row>
    <row r="108" spans="1:7" x14ac:dyDescent="0.25">
      <c r="A108" s="1">
        <v>94</v>
      </c>
      <c r="B108" s="1">
        <v>2597</v>
      </c>
      <c r="C108" s="1">
        <v>23</v>
      </c>
      <c r="D108" s="1">
        <v>14</v>
      </c>
      <c r="E108" s="1">
        <v>704</v>
      </c>
      <c r="F108" s="1">
        <v>46</v>
      </c>
      <c r="G108" s="1">
        <v>3478</v>
      </c>
    </row>
    <row r="109" spans="1:7" x14ac:dyDescent="0.25">
      <c r="A109" s="1">
        <v>95</v>
      </c>
      <c r="B109" s="1">
        <v>2596</v>
      </c>
      <c r="C109" s="1">
        <v>22</v>
      </c>
      <c r="D109" s="1">
        <v>14</v>
      </c>
      <c r="E109" s="1">
        <v>713</v>
      </c>
      <c r="F109" s="1">
        <v>47</v>
      </c>
      <c r="G109" s="1">
        <v>3487</v>
      </c>
    </row>
    <row r="110" spans="1:7" x14ac:dyDescent="0.25">
      <c r="A110" s="1">
        <v>93</v>
      </c>
      <c r="B110" s="1">
        <v>2595</v>
      </c>
      <c r="C110" s="1">
        <v>22</v>
      </c>
      <c r="D110" s="1">
        <v>12</v>
      </c>
      <c r="E110" s="1">
        <v>715</v>
      </c>
      <c r="F110" s="1">
        <v>48</v>
      </c>
      <c r="G110" s="1">
        <v>3485</v>
      </c>
    </row>
    <row r="111" spans="1:7" x14ac:dyDescent="0.25">
      <c r="A111" s="1">
        <v>94</v>
      </c>
      <c r="B111" s="1">
        <v>2595</v>
      </c>
      <c r="C111" s="1">
        <v>22</v>
      </c>
      <c r="D111" s="1">
        <v>13</v>
      </c>
      <c r="E111" s="1">
        <v>710</v>
      </c>
      <c r="F111" s="1">
        <v>48</v>
      </c>
      <c r="G111" s="1">
        <v>3482</v>
      </c>
    </row>
    <row r="112" spans="1:7" x14ac:dyDescent="0.25">
      <c r="A112" s="1">
        <v>93</v>
      </c>
      <c r="B112" s="1">
        <v>2597</v>
      </c>
      <c r="C112" s="1">
        <v>22</v>
      </c>
      <c r="D112" s="1">
        <v>11</v>
      </c>
      <c r="E112" s="1">
        <v>711</v>
      </c>
      <c r="F112" s="1">
        <v>48</v>
      </c>
      <c r="G112" s="1">
        <v>3482</v>
      </c>
    </row>
    <row r="113" spans="1:7" x14ac:dyDescent="0.25">
      <c r="A113" s="1">
        <v>93</v>
      </c>
      <c r="B113" s="1">
        <v>2602</v>
      </c>
      <c r="C113" s="1">
        <v>22</v>
      </c>
      <c r="D113" s="1">
        <v>13</v>
      </c>
      <c r="E113" s="1">
        <v>712</v>
      </c>
      <c r="F113" s="1">
        <v>47</v>
      </c>
      <c r="G113" s="1">
        <v>3489</v>
      </c>
    </row>
    <row r="114" spans="1:7" x14ac:dyDescent="0.25">
      <c r="A114" s="1">
        <v>93</v>
      </c>
      <c r="B114" s="1">
        <v>2596</v>
      </c>
      <c r="C114" s="1">
        <v>23</v>
      </c>
      <c r="D114" s="1">
        <v>12</v>
      </c>
      <c r="E114" s="1">
        <v>716</v>
      </c>
      <c r="F114" s="1">
        <v>48</v>
      </c>
      <c r="G114" s="1">
        <v>3488</v>
      </c>
    </row>
    <row r="115" spans="1:7" x14ac:dyDescent="0.25">
      <c r="A115" s="1">
        <v>93</v>
      </c>
      <c r="B115" s="1">
        <v>2599</v>
      </c>
      <c r="C115" s="1">
        <v>22</v>
      </c>
      <c r="D115" s="1">
        <v>13</v>
      </c>
      <c r="E115" s="1">
        <v>738</v>
      </c>
      <c r="F115" s="1">
        <v>48</v>
      </c>
      <c r="G115" s="1">
        <v>3513</v>
      </c>
    </row>
    <row r="116" spans="1:7" x14ac:dyDescent="0.25">
      <c r="A116" s="1">
        <v>92</v>
      </c>
      <c r="B116" s="1">
        <v>2605</v>
      </c>
      <c r="C116" s="1">
        <v>22</v>
      </c>
      <c r="D116" s="1">
        <v>13</v>
      </c>
      <c r="E116" s="1">
        <v>710</v>
      </c>
      <c r="F116" s="1">
        <v>57</v>
      </c>
      <c r="G116" s="1">
        <v>3499</v>
      </c>
    </row>
    <row r="117" spans="1:7" x14ac:dyDescent="0.25">
      <c r="A117" s="1">
        <v>97</v>
      </c>
      <c r="B117" s="1">
        <v>2627</v>
      </c>
      <c r="C117" s="1">
        <v>23</v>
      </c>
      <c r="D117" s="1">
        <v>11</v>
      </c>
      <c r="E117" s="1">
        <v>714</v>
      </c>
      <c r="F117" s="1">
        <v>47</v>
      </c>
      <c r="G117" s="1">
        <v>3519</v>
      </c>
    </row>
    <row r="118" spans="1:7" x14ac:dyDescent="0.25">
      <c r="A118" s="1">
        <v>94</v>
      </c>
      <c r="B118" s="1">
        <v>2622</v>
      </c>
      <c r="C118" s="1">
        <v>22</v>
      </c>
      <c r="D118" s="1">
        <v>12</v>
      </c>
      <c r="E118" s="1">
        <v>708</v>
      </c>
      <c r="F118" s="1">
        <v>47</v>
      </c>
      <c r="G118" s="1">
        <v>3505</v>
      </c>
    </row>
    <row r="119" spans="1:7" x14ac:dyDescent="0.25">
      <c r="A119" s="1">
        <v>95</v>
      </c>
      <c r="B119" s="1">
        <v>2626</v>
      </c>
      <c r="C119" s="1">
        <v>23</v>
      </c>
      <c r="D119" s="1">
        <v>11</v>
      </c>
      <c r="E119" s="1">
        <v>713</v>
      </c>
      <c r="F119" s="1">
        <v>47</v>
      </c>
      <c r="G119" s="1">
        <v>3515</v>
      </c>
    </row>
    <row r="120" spans="1:7" x14ac:dyDescent="0.25">
      <c r="A120" s="1">
        <v>95</v>
      </c>
      <c r="B120" s="1">
        <v>2627</v>
      </c>
      <c r="C120" s="1">
        <v>23</v>
      </c>
      <c r="D120" s="1">
        <v>13</v>
      </c>
      <c r="E120" s="1">
        <v>711</v>
      </c>
      <c r="F120" s="1">
        <v>48</v>
      </c>
      <c r="G120" s="1">
        <v>3517</v>
      </c>
    </row>
    <row r="121" spans="1:7" x14ac:dyDescent="0.25">
      <c r="A121" s="1">
        <v>96</v>
      </c>
      <c r="B121" s="1">
        <v>2617</v>
      </c>
      <c r="C121" s="1">
        <v>22</v>
      </c>
      <c r="D121" s="1">
        <v>11</v>
      </c>
      <c r="E121" s="1">
        <v>703</v>
      </c>
      <c r="F121" s="1">
        <v>48</v>
      </c>
      <c r="G121" s="1">
        <v>3497</v>
      </c>
    </row>
    <row r="122" spans="1:7" x14ac:dyDescent="0.25">
      <c r="A122" s="1">
        <v>95</v>
      </c>
      <c r="B122" s="1">
        <v>2614</v>
      </c>
      <c r="C122" s="1">
        <v>22</v>
      </c>
      <c r="D122" s="1">
        <v>13</v>
      </c>
      <c r="E122" s="1">
        <v>707</v>
      </c>
      <c r="F122" s="1">
        <v>47</v>
      </c>
      <c r="G122" s="1">
        <v>3498</v>
      </c>
    </row>
    <row r="123" spans="1:7" x14ac:dyDescent="0.25">
      <c r="A123" s="1">
        <v>97</v>
      </c>
      <c r="B123" s="1">
        <v>2610</v>
      </c>
      <c r="C123" s="1">
        <v>22</v>
      </c>
      <c r="D123" s="1">
        <v>14</v>
      </c>
      <c r="E123" s="1">
        <v>705</v>
      </c>
      <c r="F123" s="1">
        <v>48</v>
      </c>
      <c r="G123" s="1">
        <v>3496</v>
      </c>
    </row>
    <row r="124" spans="1:7" x14ac:dyDescent="0.25">
      <c r="A124" s="1">
        <v>97</v>
      </c>
      <c r="B124" s="1">
        <v>2613</v>
      </c>
      <c r="C124" s="1">
        <v>22</v>
      </c>
      <c r="D124" s="1">
        <v>13</v>
      </c>
      <c r="E124" s="1">
        <v>706</v>
      </c>
      <c r="F124" s="1">
        <v>48</v>
      </c>
      <c r="G124" s="1">
        <v>3499</v>
      </c>
    </row>
    <row r="125" spans="1:7" x14ac:dyDescent="0.25">
      <c r="A125" s="1">
        <v>96</v>
      </c>
      <c r="B125" s="1">
        <v>2613</v>
      </c>
      <c r="C125" s="1">
        <v>22</v>
      </c>
      <c r="D125" s="1">
        <v>13</v>
      </c>
      <c r="E125" s="1">
        <v>708</v>
      </c>
      <c r="F125" s="1">
        <v>48</v>
      </c>
      <c r="G125" s="1">
        <v>3500</v>
      </c>
    </row>
    <row r="126" spans="1:7" x14ac:dyDescent="0.25">
      <c r="A126" s="1">
        <v>96</v>
      </c>
      <c r="B126" s="1">
        <v>2617</v>
      </c>
      <c r="C126" s="1">
        <v>22</v>
      </c>
      <c r="D126" s="1">
        <v>13</v>
      </c>
      <c r="E126" s="1">
        <v>709</v>
      </c>
      <c r="F126" s="1">
        <v>47</v>
      </c>
      <c r="G126" s="1">
        <v>3504</v>
      </c>
    </row>
    <row r="127" spans="1:7" x14ac:dyDescent="0.25">
      <c r="A127" s="1">
        <v>98</v>
      </c>
      <c r="B127" s="1">
        <v>2615</v>
      </c>
      <c r="C127" s="1">
        <v>22</v>
      </c>
      <c r="D127" s="1">
        <v>12</v>
      </c>
      <c r="E127" s="1">
        <v>707</v>
      </c>
      <c r="F127" s="1">
        <v>48</v>
      </c>
      <c r="G127" s="1">
        <v>3502</v>
      </c>
    </row>
    <row r="128" spans="1:7" x14ac:dyDescent="0.25">
      <c r="A128" s="1">
        <v>97</v>
      </c>
      <c r="B128" s="1">
        <v>2615</v>
      </c>
      <c r="C128" s="1">
        <v>22</v>
      </c>
      <c r="D128" s="1">
        <v>13</v>
      </c>
      <c r="E128" s="1">
        <v>710</v>
      </c>
      <c r="F128" s="1">
        <v>47</v>
      </c>
      <c r="G128" s="1">
        <v>3504</v>
      </c>
    </row>
    <row r="129" spans="1:7" x14ac:dyDescent="0.25">
      <c r="A129" s="1">
        <v>97</v>
      </c>
      <c r="B129" s="1">
        <v>2617</v>
      </c>
      <c r="C129" s="1">
        <v>22</v>
      </c>
      <c r="D129" s="1">
        <v>13</v>
      </c>
      <c r="E129" s="1">
        <v>717</v>
      </c>
      <c r="F129" s="1">
        <v>47</v>
      </c>
      <c r="G129" s="1">
        <v>3513</v>
      </c>
    </row>
    <row r="130" spans="1:7" x14ac:dyDescent="0.25">
      <c r="A130" s="1">
        <v>96</v>
      </c>
      <c r="B130" s="1">
        <v>2616</v>
      </c>
      <c r="C130" s="1">
        <v>23</v>
      </c>
      <c r="D130" s="1">
        <v>12</v>
      </c>
      <c r="E130" s="1">
        <v>713</v>
      </c>
      <c r="F130" s="1">
        <v>48</v>
      </c>
      <c r="G130" s="1">
        <v>3508</v>
      </c>
    </row>
    <row r="131" spans="1:7" x14ac:dyDescent="0.25">
      <c r="A131" s="1">
        <v>96</v>
      </c>
      <c r="B131" s="1">
        <v>2623</v>
      </c>
      <c r="C131" s="1">
        <v>21</v>
      </c>
      <c r="D131" s="1">
        <v>14</v>
      </c>
      <c r="E131" s="1">
        <v>709</v>
      </c>
      <c r="F131" s="1">
        <v>47</v>
      </c>
      <c r="G131" s="1">
        <v>3510</v>
      </c>
    </row>
    <row r="132" spans="1:7" x14ac:dyDescent="0.25">
      <c r="A132" s="1">
        <v>96</v>
      </c>
      <c r="B132" s="1">
        <v>2613</v>
      </c>
      <c r="C132" s="1">
        <v>22</v>
      </c>
      <c r="D132" s="1">
        <v>12</v>
      </c>
      <c r="E132" s="1">
        <v>711</v>
      </c>
      <c r="F132" s="1">
        <v>47</v>
      </c>
      <c r="G132" s="1">
        <v>3501</v>
      </c>
    </row>
    <row r="133" spans="1:7" x14ac:dyDescent="0.25">
      <c r="A133" s="1">
        <v>96</v>
      </c>
      <c r="B133" s="1">
        <v>2620</v>
      </c>
      <c r="C133" s="1">
        <v>22</v>
      </c>
      <c r="D133" s="1">
        <v>14</v>
      </c>
      <c r="E133" s="1">
        <v>708</v>
      </c>
      <c r="F133" s="1">
        <v>48</v>
      </c>
      <c r="G133" s="1">
        <v>3508</v>
      </c>
    </row>
    <row r="134" spans="1:7" x14ac:dyDescent="0.25">
      <c r="A134" s="1">
        <v>94</v>
      </c>
      <c r="B134" s="1">
        <v>2617</v>
      </c>
      <c r="C134" s="1">
        <v>22</v>
      </c>
      <c r="D134" s="1">
        <v>14</v>
      </c>
      <c r="E134" s="1">
        <v>708</v>
      </c>
      <c r="F134" s="1">
        <v>48</v>
      </c>
      <c r="G134" s="1">
        <v>3503</v>
      </c>
    </row>
    <row r="135" spans="1:7" x14ac:dyDescent="0.25">
      <c r="A135" s="1">
        <v>96</v>
      </c>
      <c r="B135" s="1">
        <v>2616</v>
      </c>
      <c r="C135" s="1">
        <v>22</v>
      </c>
      <c r="D135" s="1">
        <v>13</v>
      </c>
      <c r="E135" s="1">
        <v>710</v>
      </c>
      <c r="F135" s="1">
        <v>48</v>
      </c>
      <c r="G135" s="1">
        <v>3505</v>
      </c>
    </row>
    <row r="136" spans="1:7" x14ac:dyDescent="0.25">
      <c r="A136" s="1">
        <v>95</v>
      </c>
      <c r="B136" s="1">
        <v>2618</v>
      </c>
      <c r="C136" s="1">
        <v>22</v>
      </c>
      <c r="D136" s="1">
        <v>13</v>
      </c>
      <c r="E136" s="1">
        <v>705</v>
      </c>
      <c r="F136" s="1">
        <v>48</v>
      </c>
      <c r="G136" s="1">
        <v>3501</v>
      </c>
    </row>
    <row r="137" spans="1:7" x14ac:dyDescent="0.25">
      <c r="A137" s="1">
        <v>96</v>
      </c>
      <c r="B137" s="1">
        <v>2617</v>
      </c>
      <c r="C137" s="1">
        <v>21</v>
      </c>
      <c r="D137" s="1">
        <v>14</v>
      </c>
      <c r="E137" s="1">
        <v>710</v>
      </c>
      <c r="F137" s="1">
        <v>48</v>
      </c>
      <c r="G137" s="1">
        <v>3506</v>
      </c>
    </row>
    <row r="138" spans="1:7" x14ac:dyDescent="0.25">
      <c r="A138" s="1">
        <v>96</v>
      </c>
      <c r="B138" s="1">
        <v>2614</v>
      </c>
      <c r="C138" s="1">
        <v>22</v>
      </c>
      <c r="D138" s="1">
        <v>14</v>
      </c>
      <c r="E138" s="1">
        <v>707</v>
      </c>
      <c r="F138" s="1">
        <v>48</v>
      </c>
      <c r="G138" s="1">
        <v>3501</v>
      </c>
    </row>
    <row r="139" spans="1:7" x14ac:dyDescent="0.25">
      <c r="A139" s="1">
        <v>96</v>
      </c>
      <c r="B139" s="1">
        <v>2615</v>
      </c>
      <c r="C139" s="1">
        <v>22</v>
      </c>
      <c r="D139" s="1">
        <v>13</v>
      </c>
      <c r="E139" s="1">
        <v>716</v>
      </c>
      <c r="F139" s="1">
        <v>47</v>
      </c>
      <c r="G139" s="1">
        <v>3509</v>
      </c>
    </row>
    <row r="140" spans="1:7" x14ac:dyDescent="0.25">
      <c r="A140" s="1">
        <v>95</v>
      </c>
      <c r="B140" s="1">
        <v>2613</v>
      </c>
      <c r="C140" s="1">
        <v>22</v>
      </c>
      <c r="D140" s="1">
        <v>13</v>
      </c>
      <c r="E140" s="1">
        <v>708</v>
      </c>
      <c r="F140" s="1">
        <v>49</v>
      </c>
      <c r="G140" s="1">
        <v>3500</v>
      </c>
    </row>
    <row r="141" spans="1:7" x14ac:dyDescent="0.25">
      <c r="A141" s="1">
        <v>94</v>
      </c>
      <c r="B141" s="1">
        <v>2616</v>
      </c>
      <c r="C141" s="1">
        <v>22</v>
      </c>
      <c r="D141" s="1">
        <v>14</v>
      </c>
      <c r="E141" s="1">
        <v>712</v>
      </c>
      <c r="F141" s="1">
        <v>48</v>
      </c>
      <c r="G141" s="1">
        <v>3506</v>
      </c>
    </row>
    <row r="142" spans="1:7" x14ac:dyDescent="0.25">
      <c r="A142" s="1">
        <v>95</v>
      </c>
      <c r="B142" s="1">
        <v>2612</v>
      </c>
      <c r="C142" s="1">
        <v>22</v>
      </c>
      <c r="D142" s="1">
        <v>12</v>
      </c>
      <c r="E142" s="1">
        <v>712</v>
      </c>
      <c r="F142" s="1">
        <v>48</v>
      </c>
      <c r="G142" s="1">
        <v>3501</v>
      </c>
    </row>
    <row r="143" spans="1:7" x14ac:dyDescent="0.25">
      <c r="A143" s="1">
        <v>95</v>
      </c>
      <c r="B143" s="1">
        <v>2611</v>
      </c>
      <c r="C143" s="1">
        <v>23</v>
      </c>
      <c r="D143" s="1">
        <v>14</v>
      </c>
      <c r="E143" s="1">
        <v>703</v>
      </c>
      <c r="F143" s="1">
        <v>47</v>
      </c>
      <c r="G143" s="1">
        <v>3493</v>
      </c>
    </row>
    <row r="144" spans="1:7" x14ac:dyDescent="0.25">
      <c r="A144" s="1">
        <v>96</v>
      </c>
      <c r="B144" s="1">
        <v>2617</v>
      </c>
      <c r="C144" s="1">
        <v>23</v>
      </c>
      <c r="D144" s="1">
        <v>13</v>
      </c>
      <c r="E144" s="1">
        <v>709</v>
      </c>
      <c r="F144" s="1">
        <v>48</v>
      </c>
      <c r="G144" s="1">
        <v>3506</v>
      </c>
    </row>
    <row r="145" spans="1:7" x14ac:dyDescent="0.25">
      <c r="A145" s="1">
        <v>93</v>
      </c>
      <c r="B145" s="1">
        <v>2610</v>
      </c>
      <c r="C145" s="1">
        <v>22</v>
      </c>
      <c r="D145" s="1">
        <v>12</v>
      </c>
      <c r="E145" s="1">
        <v>727</v>
      </c>
      <c r="F145" s="1">
        <v>48</v>
      </c>
      <c r="G145" s="1">
        <v>3512</v>
      </c>
    </row>
    <row r="146" spans="1:7" x14ac:dyDescent="0.25">
      <c r="A146" s="1">
        <v>94</v>
      </c>
      <c r="B146" s="1">
        <v>2607</v>
      </c>
      <c r="C146" s="1">
        <v>22</v>
      </c>
      <c r="D146" s="1">
        <v>12</v>
      </c>
      <c r="E146" s="1">
        <v>713</v>
      </c>
      <c r="F146" s="1">
        <v>48</v>
      </c>
      <c r="G146" s="1">
        <v>3496</v>
      </c>
    </row>
    <row r="147" spans="1:7" x14ac:dyDescent="0.25">
      <c r="A147" s="1">
        <v>94</v>
      </c>
      <c r="B147" s="1">
        <v>2610</v>
      </c>
      <c r="C147" s="1">
        <v>22</v>
      </c>
      <c r="D147" s="1">
        <v>12</v>
      </c>
      <c r="E147" s="1">
        <v>732</v>
      </c>
      <c r="F147" s="1">
        <v>48</v>
      </c>
      <c r="G147" s="1">
        <v>3518</v>
      </c>
    </row>
    <row r="148" spans="1:7" x14ac:dyDescent="0.25">
      <c r="A148" s="1">
        <v>93</v>
      </c>
      <c r="B148" s="1">
        <v>2606</v>
      </c>
      <c r="C148" s="1">
        <v>22</v>
      </c>
      <c r="D148" s="1">
        <v>13</v>
      </c>
      <c r="E148" s="1">
        <v>714</v>
      </c>
      <c r="F148" s="1">
        <v>48</v>
      </c>
      <c r="G148" s="1">
        <v>3496</v>
      </c>
    </row>
    <row r="149" spans="1:7" x14ac:dyDescent="0.25">
      <c r="A149" s="1">
        <v>94</v>
      </c>
      <c r="B149" s="1">
        <v>2608</v>
      </c>
      <c r="C149" s="1">
        <v>22</v>
      </c>
      <c r="D149" s="1">
        <v>12</v>
      </c>
      <c r="E149" s="1">
        <v>712</v>
      </c>
      <c r="F149" s="1">
        <v>48</v>
      </c>
      <c r="G149" s="1">
        <v>3496</v>
      </c>
    </row>
    <row r="150" spans="1:7" x14ac:dyDescent="0.25">
      <c r="A150" s="1">
        <v>93</v>
      </c>
      <c r="B150" s="1">
        <v>2604</v>
      </c>
      <c r="C150" s="1">
        <v>22</v>
      </c>
      <c r="D150" s="1">
        <v>13</v>
      </c>
      <c r="E150" s="1">
        <v>718</v>
      </c>
      <c r="F150" s="1">
        <v>48</v>
      </c>
      <c r="G150" s="1">
        <v>3498</v>
      </c>
    </row>
    <row r="151" spans="1:7" x14ac:dyDescent="0.25">
      <c r="A151" s="1">
        <v>93</v>
      </c>
      <c r="B151" s="1">
        <v>2607</v>
      </c>
      <c r="C151" s="1">
        <v>23</v>
      </c>
      <c r="D151" s="1">
        <v>11</v>
      </c>
      <c r="E151" s="1">
        <v>716</v>
      </c>
      <c r="F151" s="1">
        <v>48</v>
      </c>
      <c r="G151" s="1">
        <v>3498</v>
      </c>
    </row>
    <row r="152" spans="1:7" x14ac:dyDescent="0.25">
      <c r="A152" s="1">
        <v>92</v>
      </c>
      <c r="B152" s="1">
        <v>2607</v>
      </c>
      <c r="C152" s="1">
        <v>22</v>
      </c>
      <c r="D152" s="1">
        <v>13</v>
      </c>
      <c r="E152" s="1">
        <v>716</v>
      </c>
      <c r="F152" s="1">
        <v>48</v>
      </c>
      <c r="G152" s="1">
        <v>3498</v>
      </c>
    </row>
    <row r="153" spans="1:7" x14ac:dyDescent="0.25">
      <c r="A153" s="1">
        <v>92</v>
      </c>
      <c r="B153" s="1">
        <v>2609</v>
      </c>
      <c r="C153" s="1">
        <v>22</v>
      </c>
      <c r="D153" s="1">
        <v>12</v>
      </c>
      <c r="E153" s="1">
        <v>709</v>
      </c>
      <c r="F153" s="1">
        <v>72</v>
      </c>
      <c r="G153" s="1">
        <v>3516</v>
      </c>
    </row>
    <row r="154" spans="1:7" x14ac:dyDescent="0.25">
      <c r="A154" s="1">
        <v>99</v>
      </c>
      <c r="B154" s="1">
        <v>2619</v>
      </c>
      <c r="C154" s="1">
        <v>22</v>
      </c>
      <c r="D154" s="1">
        <v>14</v>
      </c>
      <c r="E154" s="1">
        <v>707</v>
      </c>
      <c r="F154" s="1">
        <v>48</v>
      </c>
      <c r="G154" s="1">
        <v>3509</v>
      </c>
    </row>
    <row r="155" spans="1:7" x14ac:dyDescent="0.25">
      <c r="A155" s="1">
        <v>95</v>
      </c>
      <c r="B155" s="1">
        <v>2627</v>
      </c>
      <c r="C155" s="1">
        <v>23</v>
      </c>
      <c r="D155" s="1">
        <v>12</v>
      </c>
      <c r="E155" s="1">
        <v>708</v>
      </c>
      <c r="F155" s="1">
        <v>48</v>
      </c>
      <c r="G155" s="1">
        <v>3513</v>
      </c>
    </row>
    <row r="156" spans="1:7" x14ac:dyDescent="0.25">
      <c r="A156" s="1">
        <v>95</v>
      </c>
      <c r="B156" s="1">
        <v>2632</v>
      </c>
      <c r="C156" s="1">
        <v>23</v>
      </c>
      <c r="D156" s="1">
        <v>12</v>
      </c>
      <c r="E156" s="1">
        <v>709</v>
      </c>
      <c r="F156" s="1">
        <v>48</v>
      </c>
      <c r="G156" s="1">
        <v>3519</v>
      </c>
    </row>
    <row r="157" spans="1:7" x14ac:dyDescent="0.25">
      <c r="A157" s="1">
        <v>95</v>
      </c>
      <c r="B157" s="1">
        <v>2628</v>
      </c>
      <c r="C157" s="1">
        <v>22</v>
      </c>
      <c r="D157" s="1">
        <v>13</v>
      </c>
      <c r="E157" s="1">
        <v>720</v>
      </c>
      <c r="F157" s="1">
        <v>49</v>
      </c>
      <c r="G157" s="1">
        <v>3527</v>
      </c>
    </row>
    <row r="158" spans="1:7" x14ac:dyDescent="0.25">
      <c r="A158" s="1">
        <v>96</v>
      </c>
      <c r="B158" s="1">
        <v>2636</v>
      </c>
      <c r="C158" s="1">
        <v>22</v>
      </c>
      <c r="D158" s="1">
        <v>11</v>
      </c>
      <c r="E158" s="1">
        <v>716</v>
      </c>
      <c r="F158" s="1">
        <v>48</v>
      </c>
      <c r="G158" s="1">
        <v>3529</v>
      </c>
    </row>
    <row r="159" spans="1:7" x14ac:dyDescent="0.25">
      <c r="A159" s="1">
        <v>95</v>
      </c>
      <c r="B159" s="1">
        <v>2631</v>
      </c>
      <c r="C159" s="1">
        <v>22</v>
      </c>
      <c r="D159" s="1">
        <v>13</v>
      </c>
      <c r="E159" s="1">
        <v>705</v>
      </c>
      <c r="F159" s="1">
        <v>48</v>
      </c>
      <c r="G159" s="1">
        <v>3514</v>
      </c>
    </row>
    <row r="160" spans="1:7" x14ac:dyDescent="0.25">
      <c r="A160" s="1">
        <v>97</v>
      </c>
      <c r="B160" s="1">
        <v>2614</v>
      </c>
      <c r="C160" s="1">
        <v>22</v>
      </c>
      <c r="D160" s="1">
        <v>14</v>
      </c>
      <c r="E160" s="1">
        <v>708</v>
      </c>
      <c r="F160" s="1">
        <v>48</v>
      </c>
      <c r="G160" s="1">
        <v>3503</v>
      </c>
    </row>
    <row r="161" spans="1:7" x14ac:dyDescent="0.25">
      <c r="A161" s="1">
        <v>96</v>
      </c>
      <c r="B161" s="1">
        <v>2615</v>
      </c>
      <c r="C161" s="1">
        <v>22</v>
      </c>
      <c r="D161" s="1">
        <v>12</v>
      </c>
      <c r="E161" s="1">
        <v>705</v>
      </c>
      <c r="F161" s="1">
        <v>48</v>
      </c>
      <c r="G161" s="1">
        <v>3498</v>
      </c>
    </row>
    <row r="162" spans="1:7" x14ac:dyDescent="0.25">
      <c r="A162" s="1">
        <v>96</v>
      </c>
      <c r="B162" s="1">
        <v>2621</v>
      </c>
      <c r="C162" s="1">
        <v>22</v>
      </c>
      <c r="D162" s="1">
        <v>14</v>
      </c>
      <c r="E162" s="1">
        <v>709</v>
      </c>
      <c r="F162" s="1">
        <v>48</v>
      </c>
      <c r="G162" s="1">
        <v>3510</v>
      </c>
    </row>
    <row r="163" spans="1:7" x14ac:dyDescent="0.25">
      <c r="A163" s="1">
        <v>97</v>
      </c>
      <c r="B163" s="1">
        <v>2617</v>
      </c>
      <c r="C163" s="1">
        <v>22</v>
      </c>
      <c r="D163" s="1">
        <v>11</v>
      </c>
      <c r="E163" s="1">
        <v>705</v>
      </c>
      <c r="F163" s="1">
        <v>48</v>
      </c>
      <c r="G163" s="1">
        <v>3500</v>
      </c>
    </row>
    <row r="164" spans="1:7" x14ac:dyDescent="0.25">
      <c r="A164" s="1">
        <v>98</v>
      </c>
      <c r="B164" s="1">
        <v>2617</v>
      </c>
      <c r="C164" s="1">
        <v>22</v>
      </c>
      <c r="D164" s="1">
        <v>13</v>
      </c>
      <c r="E164" s="1">
        <v>713</v>
      </c>
      <c r="F164" s="1">
        <v>49</v>
      </c>
      <c r="G164" s="1">
        <v>3512</v>
      </c>
    </row>
    <row r="165" spans="1:7" x14ac:dyDescent="0.25">
      <c r="A165" s="1">
        <v>97</v>
      </c>
      <c r="B165" s="1">
        <v>2615</v>
      </c>
      <c r="C165" s="1">
        <v>22</v>
      </c>
      <c r="D165" s="1">
        <v>13</v>
      </c>
      <c r="E165" s="1">
        <v>704</v>
      </c>
      <c r="F165" s="1">
        <v>48</v>
      </c>
      <c r="G165" s="1">
        <v>3499</v>
      </c>
    </row>
    <row r="166" spans="1:7" x14ac:dyDescent="0.25">
      <c r="A166" s="1">
        <v>96</v>
      </c>
      <c r="B166" s="1">
        <v>2618</v>
      </c>
      <c r="C166" s="1">
        <v>22</v>
      </c>
      <c r="D166" s="1">
        <v>13</v>
      </c>
      <c r="E166" s="1">
        <v>707</v>
      </c>
      <c r="F166" s="1">
        <v>48</v>
      </c>
      <c r="G166" s="1">
        <v>3504</v>
      </c>
    </row>
    <row r="167" spans="1:7" x14ac:dyDescent="0.25">
      <c r="A167" s="1">
        <v>95</v>
      </c>
      <c r="B167" s="1">
        <v>2618</v>
      </c>
      <c r="C167" s="1">
        <v>23</v>
      </c>
      <c r="D167" s="1">
        <v>13</v>
      </c>
      <c r="E167" s="1">
        <v>710</v>
      </c>
      <c r="F167" s="1">
        <v>48</v>
      </c>
      <c r="G167" s="1">
        <v>3507</v>
      </c>
    </row>
    <row r="168" spans="1:7" x14ac:dyDescent="0.25">
      <c r="A168" s="1">
        <v>95</v>
      </c>
      <c r="B168" s="1">
        <v>2620</v>
      </c>
      <c r="C168" s="1">
        <v>23</v>
      </c>
      <c r="D168" s="1">
        <v>12</v>
      </c>
      <c r="E168" s="1">
        <v>711</v>
      </c>
      <c r="F168" s="1">
        <v>49</v>
      </c>
      <c r="G168" s="1">
        <v>3510</v>
      </c>
    </row>
    <row r="169" spans="1:7" x14ac:dyDescent="0.25">
      <c r="A169" s="1">
        <v>96</v>
      </c>
      <c r="B169" s="1">
        <v>2616</v>
      </c>
      <c r="C169" s="1">
        <v>23</v>
      </c>
      <c r="D169" s="1">
        <v>12</v>
      </c>
      <c r="E169" s="1">
        <v>705</v>
      </c>
      <c r="F169" s="1">
        <v>49</v>
      </c>
      <c r="G169" s="1">
        <v>3501</v>
      </c>
    </row>
    <row r="170" spans="1:7" x14ac:dyDescent="0.25">
      <c r="A170" s="1">
        <v>95</v>
      </c>
      <c r="B170" s="1">
        <v>2619</v>
      </c>
      <c r="C170" s="1">
        <v>23</v>
      </c>
      <c r="D170" s="1">
        <v>13</v>
      </c>
      <c r="E170" s="1">
        <v>709</v>
      </c>
      <c r="F170" s="1">
        <v>48</v>
      </c>
      <c r="G170" s="1">
        <v>3507</v>
      </c>
    </row>
    <row r="171" spans="1:7" x14ac:dyDescent="0.25">
      <c r="A171" s="1">
        <v>96</v>
      </c>
      <c r="B171" s="1">
        <v>2621</v>
      </c>
      <c r="C171" s="1">
        <v>22</v>
      </c>
      <c r="D171" s="1">
        <v>14</v>
      </c>
      <c r="E171" s="1">
        <v>710</v>
      </c>
      <c r="F171" s="1">
        <v>48</v>
      </c>
      <c r="G171" s="1">
        <v>3511</v>
      </c>
    </row>
    <row r="172" spans="1:7" x14ac:dyDescent="0.25">
      <c r="A172" s="1">
        <v>97</v>
      </c>
      <c r="B172" s="1">
        <v>2616</v>
      </c>
      <c r="C172" s="1">
        <v>23</v>
      </c>
      <c r="D172" s="1">
        <v>13</v>
      </c>
      <c r="E172" s="1">
        <v>708</v>
      </c>
      <c r="F172" s="1">
        <v>49</v>
      </c>
      <c r="G172" s="1">
        <v>3506</v>
      </c>
    </row>
    <row r="173" spans="1:7" x14ac:dyDescent="0.25">
      <c r="A173" s="1">
        <v>94</v>
      </c>
      <c r="B173" s="1">
        <v>2621</v>
      </c>
      <c r="C173" s="1">
        <v>22</v>
      </c>
      <c r="D173" s="1">
        <v>13</v>
      </c>
      <c r="E173" s="1">
        <v>707</v>
      </c>
      <c r="F173" s="1">
        <v>49</v>
      </c>
      <c r="G173" s="1">
        <v>3506</v>
      </c>
    </row>
    <row r="174" spans="1:7" x14ac:dyDescent="0.25">
      <c r="A174" s="1">
        <v>95</v>
      </c>
      <c r="B174" s="1">
        <v>2619</v>
      </c>
      <c r="C174" s="1">
        <v>23</v>
      </c>
      <c r="D174" s="1">
        <v>13</v>
      </c>
      <c r="E174" s="1">
        <v>705</v>
      </c>
      <c r="F174" s="1">
        <v>48</v>
      </c>
      <c r="G174" s="1">
        <v>3503</v>
      </c>
    </row>
    <row r="175" spans="1:7" x14ac:dyDescent="0.25">
      <c r="A175" s="1">
        <v>96</v>
      </c>
      <c r="B175" s="1">
        <v>2621</v>
      </c>
      <c r="C175" s="1">
        <v>23</v>
      </c>
      <c r="D175" s="1">
        <v>13</v>
      </c>
      <c r="E175" s="1">
        <v>701</v>
      </c>
      <c r="F175" s="1">
        <v>48</v>
      </c>
      <c r="G175" s="1">
        <v>3502</v>
      </c>
    </row>
  </sheetData>
  <mergeCells count="3">
    <mergeCell ref="A2:G2"/>
    <mergeCell ref="A5:G5"/>
    <mergeCell ref="A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I14" sqref="I14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11" t="s">
        <v>16</v>
      </c>
      <c r="B1" s="11"/>
      <c r="C1" s="11"/>
      <c r="D1" s="11"/>
      <c r="E1" s="11"/>
      <c r="F1" s="11"/>
      <c r="G1" s="11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A3">
        <f>AVERAGE(quadi7ssdj8[clone])</f>
        <v>94.476190476190482</v>
      </c>
      <c r="B3">
        <f>AVERAGE(quadi7ssdj8[build])</f>
        <v>2388.7142857142858</v>
      </c>
      <c r="C3">
        <f>AVERAGE(quadi7ssdj8[package])</f>
        <v>22.476190476190474</v>
      </c>
      <c r="D3">
        <f>AVERAGE(quadi7ssdj8[packagetests])</f>
        <v>13.857142857142858</v>
      </c>
      <c r="E3">
        <f>AVERAGE(quadi7ssdj8[symbols])</f>
        <v>709.71428571428567</v>
      </c>
      <c r="F3">
        <f>AVERAGE(quadi7ssdj8[clobber])</f>
        <v>48.714285714285715</v>
      </c>
      <c r="G3">
        <f>AVERAGE(quadi7ssdj8[total])</f>
        <v>3277.9523809523807</v>
      </c>
    </row>
    <row r="4" spans="1:7" x14ac:dyDescent="0.25">
      <c r="A4" s="12" t="s">
        <v>9</v>
      </c>
      <c r="B4" s="12"/>
      <c r="C4" s="12"/>
      <c r="D4" s="12"/>
      <c r="E4" s="12"/>
      <c r="F4" s="12"/>
      <c r="G4" s="12"/>
    </row>
    <row r="5" spans="1:7" x14ac:dyDescent="0.25">
      <c r="A5">
        <f>STDEV(quadi7ssdj8[clone])</f>
        <v>3.4873922581070174</v>
      </c>
      <c r="B5">
        <f>STDEV(quadi7ssdj8[build])</f>
        <v>11.524508046519198</v>
      </c>
      <c r="C5">
        <f>STDEV(quadi7ssdj8[package])</f>
        <v>0.74960306956732892</v>
      </c>
      <c r="D5">
        <f>STDEV(quadi7ssdj8[packagetests])</f>
        <v>0.91025898983279951</v>
      </c>
      <c r="E5">
        <f>STDEV(quadi7ssdj8[symbols])</f>
        <v>5.7196403483336002</v>
      </c>
      <c r="F5">
        <f>STDEV(quadi7ssdj8[clobber])</f>
        <v>0.46291004988627554</v>
      </c>
      <c r="G5">
        <f>STDEV(quadi7ssdj8[total])</f>
        <v>12.443778326843466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80</v>
      </c>
      <c r="B7">
        <v>2391</v>
      </c>
      <c r="C7">
        <v>23</v>
      </c>
      <c r="D7">
        <v>14</v>
      </c>
      <c r="E7">
        <v>726</v>
      </c>
      <c r="F7">
        <v>48</v>
      </c>
      <c r="G7">
        <v>3282</v>
      </c>
    </row>
    <row r="8" spans="1:7" x14ac:dyDescent="0.25">
      <c r="A8">
        <v>95</v>
      </c>
      <c r="B8">
        <v>2390</v>
      </c>
      <c r="C8">
        <v>22</v>
      </c>
      <c r="D8">
        <v>15</v>
      </c>
      <c r="E8">
        <v>710</v>
      </c>
      <c r="F8">
        <v>48</v>
      </c>
      <c r="G8">
        <v>3280</v>
      </c>
    </row>
    <row r="9" spans="1:7" x14ac:dyDescent="0.25">
      <c r="A9">
        <v>94</v>
      </c>
      <c r="B9">
        <v>2391</v>
      </c>
      <c r="C9">
        <v>22</v>
      </c>
      <c r="D9">
        <v>13</v>
      </c>
      <c r="E9">
        <v>716</v>
      </c>
      <c r="F9">
        <v>48</v>
      </c>
      <c r="G9">
        <v>3284</v>
      </c>
    </row>
    <row r="10" spans="1:7" x14ac:dyDescent="0.25">
      <c r="A10">
        <v>93</v>
      </c>
      <c r="B10">
        <v>2395</v>
      </c>
      <c r="C10">
        <v>22</v>
      </c>
      <c r="D10">
        <v>14</v>
      </c>
      <c r="E10">
        <v>709</v>
      </c>
      <c r="F10">
        <v>49</v>
      </c>
      <c r="G10">
        <v>3282</v>
      </c>
    </row>
    <row r="11" spans="1:7" x14ac:dyDescent="0.25">
      <c r="A11">
        <v>96</v>
      </c>
      <c r="B11">
        <v>2406</v>
      </c>
      <c r="C11">
        <v>23</v>
      </c>
      <c r="D11">
        <v>12</v>
      </c>
      <c r="E11">
        <v>712</v>
      </c>
      <c r="F11">
        <v>48</v>
      </c>
      <c r="G11">
        <v>3297</v>
      </c>
    </row>
    <row r="12" spans="1:7" x14ac:dyDescent="0.25">
      <c r="A12">
        <v>96</v>
      </c>
      <c r="B12">
        <v>2367</v>
      </c>
      <c r="C12">
        <v>21</v>
      </c>
      <c r="D12">
        <v>14</v>
      </c>
      <c r="E12">
        <v>710</v>
      </c>
      <c r="F12">
        <v>49</v>
      </c>
      <c r="G12">
        <v>3257</v>
      </c>
    </row>
    <row r="13" spans="1:7" x14ac:dyDescent="0.25">
      <c r="A13">
        <v>95</v>
      </c>
      <c r="B13">
        <v>2361</v>
      </c>
      <c r="C13">
        <v>22</v>
      </c>
      <c r="D13">
        <v>13</v>
      </c>
      <c r="E13">
        <v>709</v>
      </c>
      <c r="F13">
        <v>49</v>
      </c>
      <c r="G13">
        <v>3249</v>
      </c>
    </row>
    <row r="14" spans="1:7" x14ac:dyDescent="0.25">
      <c r="A14">
        <v>96</v>
      </c>
      <c r="B14">
        <v>2365</v>
      </c>
      <c r="C14">
        <v>22</v>
      </c>
      <c r="D14">
        <v>14</v>
      </c>
      <c r="E14">
        <v>706</v>
      </c>
      <c r="F14">
        <v>49</v>
      </c>
      <c r="G14">
        <v>3252</v>
      </c>
    </row>
    <row r="15" spans="1:7" x14ac:dyDescent="0.25">
      <c r="A15">
        <v>96</v>
      </c>
      <c r="B15">
        <v>2384</v>
      </c>
      <c r="C15">
        <v>23</v>
      </c>
      <c r="D15">
        <v>13</v>
      </c>
      <c r="E15">
        <v>708</v>
      </c>
      <c r="F15">
        <v>49</v>
      </c>
      <c r="G15">
        <v>3273</v>
      </c>
    </row>
    <row r="16" spans="1:7" x14ac:dyDescent="0.25">
      <c r="A16">
        <v>95</v>
      </c>
      <c r="B16">
        <v>2390</v>
      </c>
      <c r="C16">
        <v>23</v>
      </c>
      <c r="D16">
        <v>14</v>
      </c>
      <c r="E16">
        <v>704</v>
      </c>
      <c r="F16">
        <v>49</v>
      </c>
      <c r="G16">
        <v>3275</v>
      </c>
    </row>
    <row r="17" spans="1:7" x14ac:dyDescent="0.25">
      <c r="A17">
        <v>95</v>
      </c>
      <c r="B17">
        <v>2391</v>
      </c>
      <c r="C17">
        <v>22</v>
      </c>
      <c r="D17">
        <v>15</v>
      </c>
      <c r="E17">
        <v>708</v>
      </c>
      <c r="F17">
        <v>49</v>
      </c>
      <c r="G17">
        <v>3280</v>
      </c>
    </row>
    <row r="18" spans="1:7" x14ac:dyDescent="0.25">
      <c r="A18">
        <v>95</v>
      </c>
      <c r="B18">
        <v>2388</v>
      </c>
      <c r="C18">
        <v>23</v>
      </c>
      <c r="D18">
        <v>14</v>
      </c>
      <c r="E18">
        <v>721</v>
      </c>
      <c r="F18">
        <v>48</v>
      </c>
      <c r="G18">
        <v>3289</v>
      </c>
    </row>
    <row r="19" spans="1:7" x14ac:dyDescent="0.25">
      <c r="A19">
        <v>95</v>
      </c>
      <c r="B19">
        <v>2388</v>
      </c>
      <c r="C19">
        <v>22</v>
      </c>
      <c r="D19">
        <v>15</v>
      </c>
      <c r="E19">
        <v>711</v>
      </c>
      <c r="F19">
        <v>49</v>
      </c>
      <c r="G19">
        <v>3280</v>
      </c>
    </row>
    <row r="20" spans="1:7" x14ac:dyDescent="0.25">
      <c r="A20">
        <v>94</v>
      </c>
      <c r="B20">
        <v>2390</v>
      </c>
      <c r="C20">
        <v>23</v>
      </c>
      <c r="D20">
        <v>14</v>
      </c>
      <c r="E20">
        <v>712</v>
      </c>
      <c r="F20">
        <v>48</v>
      </c>
      <c r="G20">
        <v>3281</v>
      </c>
    </row>
    <row r="21" spans="1:7" x14ac:dyDescent="0.25">
      <c r="A21">
        <v>93</v>
      </c>
      <c r="B21">
        <v>2390</v>
      </c>
      <c r="C21">
        <v>22</v>
      </c>
      <c r="D21">
        <v>15</v>
      </c>
      <c r="E21">
        <v>705</v>
      </c>
      <c r="F21">
        <v>49</v>
      </c>
      <c r="G21">
        <v>3274</v>
      </c>
    </row>
    <row r="22" spans="1:7" x14ac:dyDescent="0.25">
      <c r="A22">
        <v>97</v>
      </c>
      <c r="B22">
        <v>2403</v>
      </c>
      <c r="C22">
        <v>24</v>
      </c>
      <c r="D22">
        <v>12</v>
      </c>
      <c r="E22">
        <v>712</v>
      </c>
      <c r="F22">
        <v>49</v>
      </c>
      <c r="G22">
        <v>3297</v>
      </c>
    </row>
    <row r="23" spans="1:7" x14ac:dyDescent="0.25">
      <c r="A23">
        <v>95</v>
      </c>
      <c r="B23">
        <v>2403</v>
      </c>
      <c r="C23">
        <v>22</v>
      </c>
      <c r="D23">
        <v>15</v>
      </c>
      <c r="E23">
        <v>706</v>
      </c>
      <c r="F23">
        <v>49</v>
      </c>
      <c r="G23">
        <v>3290</v>
      </c>
    </row>
    <row r="24" spans="1:7" x14ac:dyDescent="0.25">
      <c r="A24">
        <v>96</v>
      </c>
      <c r="B24">
        <v>2391</v>
      </c>
      <c r="C24">
        <v>22</v>
      </c>
      <c r="D24">
        <v>13</v>
      </c>
      <c r="E24">
        <v>708</v>
      </c>
      <c r="F24">
        <v>49</v>
      </c>
      <c r="G24">
        <v>3279</v>
      </c>
    </row>
    <row r="25" spans="1:7" x14ac:dyDescent="0.25">
      <c r="A25">
        <v>97</v>
      </c>
      <c r="B25">
        <v>2393</v>
      </c>
      <c r="C25">
        <v>22</v>
      </c>
      <c r="D25">
        <v>14</v>
      </c>
      <c r="E25">
        <v>705</v>
      </c>
      <c r="F25">
        <v>49</v>
      </c>
      <c r="G25">
        <v>3280</v>
      </c>
    </row>
    <row r="26" spans="1:7" x14ac:dyDescent="0.25">
      <c r="A26">
        <v>96</v>
      </c>
      <c r="B26">
        <v>2394</v>
      </c>
      <c r="C26">
        <v>24</v>
      </c>
      <c r="D26">
        <v>14</v>
      </c>
      <c r="E26">
        <v>703</v>
      </c>
      <c r="F26">
        <v>49</v>
      </c>
      <c r="G26">
        <v>3280</v>
      </c>
    </row>
    <row r="27" spans="1:7" x14ac:dyDescent="0.25">
      <c r="A27">
        <v>95</v>
      </c>
      <c r="B27">
        <v>2392</v>
      </c>
      <c r="C27">
        <v>23</v>
      </c>
      <c r="D27">
        <v>14</v>
      </c>
      <c r="E27">
        <v>703</v>
      </c>
      <c r="F27">
        <v>49</v>
      </c>
      <c r="G27">
        <v>3276</v>
      </c>
    </row>
  </sheetData>
  <mergeCells count="3">
    <mergeCell ref="A1:G1"/>
    <mergeCell ref="A2:G2"/>
    <mergeCell ref="A4:G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j settings</vt:lpstr>
      <vt:lpstr>retail-comparison</vt:lpstr>
      <vt:lpstr>compare-old</vt:lpstr>
      <vt:lpstr>optimal-build</vt:lpstr>
      <vt:lpstr>hd-vs-ssd-comparison</vt:lpstr>
      <vt:lpstr>number-of-machines</vt:lpstr>
      <vt:lpstr>quad-i7-ssd-j2</vt:lpstr>
      <vt:lpstr>quad-i7-ssd-j4</vt:lpstr>
      <vt:lpstr>quad-i7-ssd-j8</vt:lpstr>
      <vt:lpstr>quad-i7-ssd-j16</vt:lpstr>
      <vt:lpstr>dual-i7-ssd-j2</vt:lpstr>
      <vt:lpstr>dual-i7-ssd-j4</vt:lpstr>
      <vt:lpstr>dual-i7-ssd-j8</vt:lpstr>
      <vt:lpstr>dual-i7-ssd-j16</vt:lpstr>
      <vt:lpstr>dual-i7-hd-j2</vt:lpstr>
      <vt:lpstr>dual-i7-hd-j4</vt:lpstr>
      <vt:lpstr>dual-i7-hd-j8</vt:lpstr>
      <vt:lpstr>dual-i7-hd-j16</vt:lpstr>
      <vt:lpstr>dual-i5-hd-j2</vt:lpstr>
      <vt:lpstr>dual-i5-hd-j4</vt:lpstr>
      <vt:lpstr>dual-i5-hd-j8</vt:lpstr>
      <vt:lpstr>dual-i5-hd-j16</vt:lpstr>
      <vt:lpstr>moz2-darwin10-data</vt:lpstr>
      <vt:lpstr>quad-i7-ssd-j12</vt:lpstr>
      <vt:lpstr>dual-i7-ssd-j12</vt:lpstr>
      <vt:lpstr>dual-i7-hd-j12</vt:lpstr>
      <vt:lpstr>dual-i5-hd-j12</vt:lpstr>
      <vt:lpstr>'moz2-darwin10-data'!moz2_compile</vt:lpstr>
      <vt:lpstr>'moz2-darwin10-data'!moz2_symbols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jhford</dc:creator>
  <cp:lastModifiedBy>jhford</cp:lastModifiedBy>
  <dcterms:created xsi:type="dcterms:W3CDTF">2012-01-05T19:02:24Z</dcterms:created>
  <dcterms:modified xsi:type="dcterms:W3CDTF">2012-01-11T02:08:26Z</dcterms:modified>
</cp:coreProperties>
</file>