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<sst xmlns="http://schemas.openxmlformats.org/spreadsheetml/2006/main" count="77" uniqueCount="47">
  <si>
    <t>Company Name</t>
  </si>
  <si>
    <t>Alpha 
Company</t>
  </si>
  <si>
    <t>Bravo 
Company</t>
  </si>
  <si>
    <t>Charlie 
Company</t>
  </si>
  <si>
    <t>Delta 
Company</t>
  </si>
  <si>
    <t>Echo 
Company</t>
  </si>
  <si>
    <t>Cruise Speed 
(mph)</t>
  </si>
  <si>
    <t>Battery Capacity 
(kWh)</t>
  </si>
  <si>
    <t>Energy use at Cruise 
(kWh/mile)</t>
  </si>
  <si>
    <t>Passenger 
Count</t>
  </si>
  <si>
    <t>Probability of 
fault per hour</t>
  </si>
  <si>
    <t>Time to Charge 
(hours)</t>
  </si>
  <si>
    <t>Derived Characteristics</t>
  </si>
  <si>
    <t>Flight Miles</t>
  </si>
  <si>
    <t>Flight Time</t>
  </si>
  <si>
    <t>Dry Run 11111 No Queue</t>
  </si>
  <si>
    <t>Flight 1</t>
  </si>
  <si>
    <t>Charge</t>
  </si>
  <si>
    <t>Flight 2</t>
  </si>
  <si>
    <t>Flight 3</t>
  </si>
  <si>
    <t>Flight 4</t>
  </si>
  <si>
    <t>Average flight time (hrs)</t>
  </si>
  <si>
    <t>Acceptance test 1.</t>
  </si>
  <si>
    <t>Average distance (miles)</t>
  </si>
  <si>
    <t>Basic stats and partial flight for 1 aircraft.</t>
  </si>
  <si>
    <t>Average charge time (hrs)</t>
  </si>
  <si>
    <t>Min Faults</t>
  </si>
  <si>
    <t>Passenger miles per vehicle</t>
  </si>
  <si>
    <t>Flights</t>
  </si>
  <si>
    <t>Charges</t>
  </si>
  <si>
    <r>
      <rPr>
        <sz val="11.0"/>
      </rPr>
      <t xml:space="preserve">Note: No partial charges in default. Must change a param, </t>
    </r>
    <r>
      <rPr>
        <color rgb="FF1155CC"/>
        <sz val="11.0"/>
        <u/>
      </rPr>
      <t>e.g</t>
    </r>
    <r>
      <rPr>
        <sz val="11.0"/>
      </rPr>
      <t>. sim window, to cause it. Say 1.5 hr.</t>
    </r>
  </si>
  <si>
    <t>Charge Time</t>
  </si>
  <si>
    <t>Sim duration (hours)</t>
  </si>
  <si>
    <t>Acceptance test 2.</t>
  </si>
  <si>
    <t>Partial charge scenario for 1 aircraft.</t>
  </si>
  <si>
    <t>With queue</t>
  </si>
  <si>
    <t>Acceptance test 3.</t>
  </si>
  <si>
    <t>Flight 1 / Flight 2</t>
  </si>
  <si>
    <t>2 aircraft, 1 charger, 3 hours.</t>
  </si>
  <si>
    <t>Charge 1 / Queue</t>
  </si>
  <si>
    <t>Flight 3 / Charge 2</t>
  </si>
  <si>
    <t>Queue 1 / Flight 4</t>
  </si>
  <si>
    <t>Charge 3 / ...</t>
  </si>
  <si>
    <t>Note the intersection.</t>
  </si>
  <si>
    <t>Flight 5 / Charge 4</t>
  </si>
  <si>
    <t>... / Flight 6</t>
  </si>
  <si>
    <t>Passenger miles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</si>
</sst>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8">
    <font>
      <sz val="10.0"/>
      <color rgb="FF000000"/>
      <name val="Arial"/>
      <scheme val="minor"/>
    </font>
    <font>
      <b/>
      <sz val="11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u/>
      <sz val="11.0"/>
      <color rgb="FF0000FF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0" fillId="0" fontId="2" numFmtId="0" xfId="0" applyFont="1"/>
    <xf borderId="1" fillId="0" fontId="3" numFmtId="0" xfId="0" applyAlignment="1" applyBorder="1" applyFont="1">
      <alignment horizontal="left" readingOrder="0" shrinkToFit="0" wrapText="1"/>
    </xf>
    <xf borderId="0" fillId="0" fontId="4" numFmtId="0" xfId="0" applyFont="1"/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4" numFmtId="164" xfId="0" applyFont="1" applyNumberFormat="1"/>
    <xf borderId="0" fillId="0" fontId="4" numFmtId="1" xfId="0" applyFont="1" applyNumberFormat="1"/>
    <xf borderId="0" fillId="0" fontId="4" numFmtId="2" xfId="0" applyFont="1" applyNumberFormat="1"/>
    <xf borderId="0" fillId="0" fontId="4" numFmtId="165" xfId="0" applyFont="1" applyNumberFormat="1"/>
    <xf borderId="0" fillId="2" fontId="2" numFmtId="0" xfId="0" applyAlignment="1" applyFill="1" applyFont="1">
      <alignment readingOrder="0"/>
    </xf>
    <xf borderId="0" fillId="2" fontId="4" numFmtId="0" xfId="0" applyFont="1"/>
    <xf borderId="2" fillId="0" fontId="4" numFmtId="0" xfId="0" applyAlignment="1" applyBorder="1" applyFont="1">
      <alignment readingOrder="0"/>
    </xf>
    <xf borderId="3" fillId="0" fontId="4" numFmtId="2" xfId="0" applyBorder="1" applyFont="1" applyNumberFormat="1"/>
    <xf borderId="3" fillId="0" fontId="4" numFmtId="165" xfId="0" applyBorder="1" applyFont="1" applyNumberFormat="1"/>
    <xf borderId="4" fillId="0" fontId="4" numFmtId="165" xfId="0" applyBorder="1" applyFont="1" applyNumberFormat="1"/>
    <xf borderId="5" fillId="0" fontId="4" numFmtId="0" xfId="0" applyAlignment="1" applyBorder="1" applyFont="1">
      <alignment readingOrder="0"/>
    </xf>
    <xf borderId="6" fillId="0" fontId="4" numFmtId="164" xfId="0" applyBorder="1" applyFont="1" applyNumberFormat="1"/>
    <xf borderId="0" fillId="0" fontId="4" numFmtId="0" xfId="0" applyAlignment="1" applyFont="1">
      <alignment readingOrder="0"/>
    </xf>
    <xf borderId="0" fillId="0" fontId="4" numFmtId="2" xfId="0" applyAlignment="1" applyFont="1" applyNumberFormat="1">
      <alignment readingOrder="0"/>
    </xf>
    <xf borderId="6" fillId="0" fontId="4" numFmtId="2" xfId="0" applyAlignment="1" applyBorder="1" applyFont="1" applyNumberFormat="1">
      <alignment readingOrder="0"/>
    </xf>
    <xf borderId="6" fillId="0" fontId="4" numFmtId="0" xfId="0" applyBorder="1" applyFont="1"/>
    <xf borderId="6" fillId="0" fontId="4" numFmtId="2" xfId="0" applyBorder="1" applyFont="1" applyNumberFormat="1"/>
    <xf borderId="7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10" fillId="0" fontId="1" numFmtId="0" xfId="0" applyAlignment="1" applyBorder="1" applyFont="1">
      <alignment horizontal="left" readingOrder="0" shrinkToFit="0" wrapText="1"/>
    </xf>
    <xf borderId="11" fillId="0" fontId="4" numFmtId="165" xfId="0" applyBorder="1" applyFont="1" applyNumberFormat="1"/>
    <xf borderId="0" fillId="0" fontId="6" numFmtId="0" xfId="0" applyAlignment="1" applyFont="1">
      <alignment readingOrder="0"/>
    </xf>
    <xf borderId="11" fillId="0" fontId="4" numFmtId="164" xfId="0" applyBorder="1" applyFont="1" applyNumberFormat="1"/>
    <xf borderId="11" fillId="0" fontId="4" numFmtId="2" xfId="0" applyBorder="1" applyFont="1" applyNumberFormat="1"/>
    <xf borderId="11" fillId="0" fontId="4" numFmtId="0" xfId="0" applyBorder="1" applyFont="1"/>
    <xf borderId="11" fillId="0" fontId="4" numFmtId="0" xfId="0" applyAlignment="1" applyBorder="1" applyFont="1">
      <alignment readingOrder="0"/>
    </xf>
    <xf borderId="12" fillId="0" fontId="4" numFmtId="165" xfId="0" applyBorder="1" applyFont="1" applyNumberFormat="1"/>
    <xf borderId="0" fillId="2" fontId="4" numFmtId="0" xfId="0" applyAlignment="1" applyFont="1">
      <alignment readingOrder="0"/>
    </xf>
    <xf borderId="2" fillId="0" fontId="4" numFmtId="0" xfId="0" applyBorder="1" applyFont="1"/>
    <xf borderId="4" fillId="0" fontId="1" numFmtId="0" xfId="0" applyAlignment="1" applyBorder="1" applyFont="1">
      <alignment horizontal="left" readingOrder="0" shrinkToFit="0" wrapText="1"/>
    </xf>
    <xf borderId="0" fillId="0" fontId="7" numFmtId="0" xfId="0" applyAlignment="1" applyFont="1">
      <alignment readingOrder="0"/>
    </xf>
    <xf borderId="5" fillId="0" fontId="4" numFmtId="165" xfId="0" applyBorder="1" applyFont="1" applyNumberFormat="1"/>
    <xf borderId="6" fillId="0" fontId="4" numFmtId="165" xfId="0" applyBorder="1" applyFont="1" applyNumberFormat="1"/>
    <xf borderId="5" fillId="0" fontId="4" numFmtId="165" xfId="0" applyAlignment="1" applyBorder="1" applyFont="1" applyNumberFormat="1">
      <alignment readingOrder="0"/>
    </xf>
    <xf borderId="5" fillId="0" fontId="4" numFmtId="0" xfId="0" applyBorder="1" applyFont="1"/>
    <xf borderId="6" fillId="0" fontId="2" numFmtId="165" xfId="0" applyBorder="1" applyFont="1" applyNumberFormat="1"/>
    <xf borderId="5" fillId="0" fontId="2" numFmtId="165" xfId="0" applyBorder="1" applyFont="1" applyNumberFormat="1"/>
    <xf borderId="7" fillId="0" fontId="4" numFmtId="0" xfId="0" applyBorder="1" applyFont="1"/>
    <xf borderId="9" fillId="0" fontId="4" numFmtId="165" xfId="0" applyBorder="1" applyFont="1" applyNumberFormat="1"/>
    <xf borderId="10" fillId="0" fontId="4" numFmtId="165" xfId="0" applyBorder="1" applyFont="1" applyNumberFormat="1"/>
    <xf borderId="11" fillId="0" fontId="4" numFmtId="1" xfId="0" applyBorder="1" applyFont="1" applyNumberFormat="1"/>
    <xf borderId="12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.gh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75"/>
    <col customWidth="1" min="2" max="6" width="9.38"/>
    <col customWidth="1" min="7" max="7" width="2.25"/>
    <col customWidth="1" min="8" max="8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6</v>
      </c>
      <c r="B2" s="3">
        <v>120.0</v>
      </c>
      <c r="C2" s="3">
        <v>100.0</v>
      </c>
      <c r="D2" s="3">
        <v>160.0</v>
      </c>
      <c r="E2" s="3">
        <v>90.0</v>
      </c>
      <c r="F2" s="3">
        <v>30.0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7</v>
      </c>
      <c r="B3" s="3">
        <v>320.0</v>
      </c>
      <c r="C3" s="3">
        <v>100.0</v>
      </c>
      <c r="D3" s="3">
        <v>220.0</v>
      </c>
      <c r="E3" s="3">
        <v>120.0</v>
      </c>
      <c r="F3" s="3">
        <v>150.0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8</v>
      </c>
      <c r="B4" s="3">
        <v>1.6</v>
      </c>
      <c r="C4" s="3">
        <v>1.5</v>
      </c>
      <c r="D4" s="3">
        <v>2.2</v>
      </c>
      <c r="E4" s="3">
        <v>0.8</v>
      </c>
      <c r="F4" s="3">
        <v>5.8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9</v>
      </c>
      <c r="B5" s="3">
        <v>4.0</v>
      </c>
      <c r="C5" s="3">
        <v>5.0</v>
      </c>
      <c r="D5" s="3">
        <v>3.0</v>
      </c>
      <c r="E5" s="3">
        <v>2.0</v>
      </c>
      <c r="F5" s="3">
        <v>2.0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 t="s">
        <v>10</v>
      </c>
      <c r="B6" s="3">
        <v>0.25</v>
      </c>
      <c r="C6" s="3">
        <v>0.1</v>
      </c>
      <c r="D6" s="3">
        <v>0.05</v>
      </c>
      <c r="E6" s="3">
        <v>0.22</v>
      </c>
      <c r="F6" s="3">
        <v>0.61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11</v>
      </c>
      <c r="B7" s="3">
        <v>0.6</v>
      </c>
      <c r="C7" s="3">
        <v>0.2</v>
      </c>
      <c r="D7" s="3">
        <v>0.8</v>
      </c>
      <c r="E7" s="3">
        <v>0.62</v>
      </c>
      <c r="F7" s="3">
        <v>0.3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12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6" t="s">
        <v>13</v>
      </c>
      <c r="B10" s="4">
        <f t="shared" ref="B10:F10" si="1">B3/B4</f>
        <v>200</v>
      </c>
      <c r="C10" s="7">
        <f t="shared" si="1"/>
        <v>66.66666667</v>
      </c>
      <c r="D10" s="8">
        <f t="shared" si="1"/>
        <v>100</v>
      </c>
      <c r="E10" s="8">
        <f t="shared" si="1"/>
        <v>150</v>
      </c>
      <c r="F10" s="7">
        <f t="shared" si="1"/>
        <v>25.86206897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6" t="s">
        <v>14</v>
      </c>
      <c r="B11" s="9">
        <f t="shared" ref="B11:F11" si="2">B10/B2</f>
        <v>1.666666667</v>
      </c>
      <c r="C11" s="10">
        <f t="shared" si="2"/>
        <v>0.6666666667</v>
      </c>
      <c r="D11" s="10">
        <f t="shared" si="2"/>
        <v>0.625</v>
      </c>
      <c r="E11" s="9">
        <f t="shared" si="2"/>
        <v>1.666666667</v>
      </c>
      <c r="F11" s="10">
        <f t="shared" si="2"/>
        <v>0.8620689655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 t="s">
        <v>15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6" t="s">
        <v>16</v>
      </c>
      <c r="B14" s="9">
        <f t="shared" ref="B14:F14" si="3">B11</f>
        <v>1.666666667</v>
      </c>
      <c r="C14" s="10">
        <f t="shared" si="3"/>
        <v>0.6666666667</v>
      </c>
      <c r="D14" s="10">
        <f t="shared" si="3"/>
        <v>0.625</v>
      </c>
      <c r="E14" s="9">
        <f t="shared" si="3"/>
        <v>1.666666667</v>
      </c>
      <c r="F14" s="10">
        <f t="shared" si="3"/>
        <v>0.8620689655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6" t="s">
        <v>17</v>
      </c>
      <c r="B15" s="9">
        <f t="shared" ref="B15:F15" si="4">B14+B7</f>
        <v>2.266666667</v>
      </c>
      <c r="C15" s="10">
        <f t="shared" si="4"/>
        <v>0.8666666667</v>
      </c>
      <c r="D15" s="10">
        <f t="shared" si="4"/>
        <v>1.425</v>
      </c>
      <c r="E15" s="9">
        <f t="shared" si="4"/>
        <v>2.286666667</v>
      </c>
      <c r="F15" s="10">
        <f t="shared" si="4"/>
        <v>1.162068966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6" t="s">
        <v>18</v>
      </c>
      <c r="B16" s="9">
        <f t="shared" ref="B16:F16" si="5">B15+B11</f>
        <v>3.933333333</v>
      </c>
      <c r="C16" s="10">
        <f t="shared" si="5"/>
        <v>1.533333333</v>
      </c>
      <c r="D16" s="10">
        <f t="shared" si="5"/>
        <v>2.05</v>
      </c>
      <c r="E16" s="9">
        <f t="shared" si="5"/>
        <v>3.953333333</v>
      </c>
      <c r="F16" s="10">
        <f t="shared" si="5"/>
        <v>2.024137931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6" t="s">
        <v>17</v>
      </c>
      <c r="B17" s="4"/>
      <c r="C17" s="10">
        <f t="shared" ref="C17:D17" si="6">C16+C7</f>
        <v>1.733333333</v>
      </c>
      <c r="D17" s="10">
        <f t="shared" si="6"/>
        <v>2.85</v>
      </c>
      <c r="E17" s="4"/>
      <c r="F17" s="10">
        <f>F16+F7</f>
        <v>2.324137931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6" t="s">
        <v>19</v>
      </c>
      <c r="B18" s="4"/>
      <c r="C18" s="10">
        <f t="shared" ref="C18:D18" si="7">C17+C11</f>
        <v>2.4</v>
      </c>
      <c r="D18" s="10">
        <f t="shared" si="7"/>
        <v>3.475</v>
      </c>
      <c r="E18" s="4"/>
      <c r="F18" s="10">
        <f>F17+F11</f>
        <v>3.186206897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6" t="s">
        <v>17</v>
      </c>
      <c r="B19" s="4"/>
      <c r="C19" s="10">
        <f>C18+C7</f>
        <v>2.6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 t="s">
        <v>20</v>
      </c>
      <c r="B20" s="4"/>
      <c r="C20" s="10">
        <f>C19+C11</f>
        <v>3.266666667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3" t="s">
        <v>21</v>
      </c>
      <c r="B23" s="14">
        <f t="shared" ref="B23:F23" si="8">B30/B28</f>
        <v>1.666666667</v>
      </c>
      <c r="C23" s="15">
        <f t="shared" si="8"/>
        <v>0.6666666667</v>
      </c>
      <c r="D23" s="15">
        <f t="shared" si="8"/>
        <v>0.625</v>
      </c>
      <c r="E23" s="14">
        <f t="shared" si="8"/>
        <v>1.666666667</v>
      </c>
      <c r="F23" s="16">
        <f t="shared" si="8"/>
        <v>0.8620689655</v>
      </c>
      <c r="G23" s="4"/>
      <c r="H23" s="6" t="s">
        <v>22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7" t="s">
        <v>23</v>
      </c>
      <c r="B24" s="7">
        <f t="shared" ref="B24:F24" si="9">B23*B2</f>
        <v>200</v>
      </c>
      <c r="C24" s="7">
        <f t="shared" si="9"/>
        <v>66.66666667</v>
      </c>
      <c r="D24" s="7">
        <f t="shared" si="9"/>
        <v>100</v>
      </c>
      <c r="E24" s="7">
        <f t="shared" si="9"/>
        <v>150</v>
      </c>
      <c r="F24" s="18">
        <f t="shared" si="9"/>
        <v>25.86206897</v>
      </c>
      <c r="G24" s="4"/>
      <c r="H24" s="19" t="s">
        <v>24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7" t="s">
        <v>25</v>
      </c>
      <c r="B25" s="20">
        <f t="shared" ref="B25:F25" si="10">B31/B29</f>
        <v>0.6</v>
      </c>
      <c r="C25" s="20">
        <f t="shared" si="10"/>
        <v>0.2</v>
      </c>
      <c r="D25" s="20">
        <f t="shared" si="10"/>
        <v>0.8</v>
      </c>
      <c r="E25" s="19">
        <f t="shared" si="10"/>
        <v>0.62</v>
      </c>
      <c r="F25" s="21">
        <f t="shared" si="10"/>
        <v>0.3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7" t="s">
        <v>26</v>
      </c>
      <c r="B26" s="4">
        <f t="shared" ref="B26:F26" si="11">B6*3</f>
        <v>0.75</v>
      </c>
      <c r="C26" s="9">
        <f t="shared" si="11"/>
        <v>0.3</v>
      </c>
      <c r="D26" s="4">
        <f t="shared" si="11"/>
        <v>0.15</v>
      </c>
      <c r="E26" s="4">
        <f t="shared" si="11"/>
        <v>0.66</v>
      </c>
      <c r="F26" s="22">
        <f t="shared" si="11"/>
        <v>1.83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7" t="s">
        <v>27</v>
      </c>
      <c r="B27" s="4">
        <f t="shared" ref="B27:F27" si="12">B30*B2*B5</f>
        <v>1152</v>
      </c>
      <c r="C27" s="8">
        <f t="shared" si="12"/>
        <v>1200</v>
      </c>
      <c r="D27" s="4">
        <f t="shared" si="12"/>
        <v>672</v>
      </c>
      <c r="E27" s="4">
        <f t="shared" si="12"/>
        <v>428.4</v>
      </c>
      <c r="F27" s="22">
        <f t="shared" si="12"/>
        <v>144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7" t="s">
        <v>28</v>
      </c>
      <c r="B28" s="9">
        <f>1+(3-B15)/B11</f>
        <v>1.44</v>
      </c>
      <c r="C28" s="9">
        <f>3+(3-C19)/C11</f>
        <v>3.6</v>
      </c>
      <c r="D28" s="9">
        <f>2+(3-D17)/D11</f>
        <v>2.24</v>
      </c>
      <c r="E28" s="9">
        <f>1+(3-E15)/E11</f>
        <v>1.428</v>
      </c>
      <c r="F28" s="23">
        <f>2+(3-F17)/F11</f>
        <v>2.784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4" t="s">
        <v>29</v>
      </c>
      <c r="B29" s="25">
        <v>1.0</v>
      </c>
      <c r="C29" s="25">
        <v>3.0</v>
      </c>
      <c r="D29" s="25">
        <v>2.0</v>
      </c>
      <c r="E29" s="25">
        <v>1.0</v>
      </c>
      <c r="F29" s="26">
        <v>2.0</v>
      </c>
      <c r="G29" s="4"/>
      <c r="H29" s="27" t="s">
        <v>30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8" t="s">
        <v>14</v>
      </c>
      <c r="B30" s="9">
        <f t="shared" ref="B30:E30" si="13">B11*B28</f>
        <v>2.4</v>
      </c>
      <c r="C30" s="9">
        <f t="shared" si="13"/>
        <v>2.4</v>
      </c>
      <c r="D30" s="4">
        <f t="shared" si="13"/>
        <v>1.4</v>
      </c>
      <c r="E30" s="4">
        <f t="shared" si="13"/>
        <v>2.38</v>
      </c>
      <c r="F30" s="9">
        <f>F11*2 + (3-F17)</f>
        <v>2.4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9" t="s">
        <v>31</v>
      </c>
      <c r="B31" s="20">
        <f t="shared" ref="B31:F31" si="14">B29*B7</f>
        <v>0.6</v>
      </c>
      <c r="C31" s="20">
        <f t="shared" si="14"/>
        <v>0.6</v>
      </c>
      <c r="D31" s="20">
        <f t="shared" si="14"/>
        <v>1.6</v>
      </c>
      <c r="E31" s="19">
        <f t="shared" si="14"/>
        <v>0.62</v>
      </c>
      <c r="F31" s="20">
        <f t="shared" si="14"/>
        <v>0.6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9" t="s">
        <v>32</v>
      </c>
      <c r="B32" s="19">
        <v>3.0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9" t="s">
        <v>32</v>
      </c>
      <c r="B34" s="19">
        <v>1.0</v>
      </c>
      <c r="D34" s="4"/>
      <c r="E34" s="4"/>
      <c r="F34" s="29" t="s">
        <v>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9" t="s">
        <v>21</v>
      </c>
      <c r="B35" s="19"/>
      <c r="C35" s="4"/>
      <c r="D35" s="4"/>
      <c r="E35" s="4"/>
      <c r="F35" s="30">
        <f>F30/F28</f>
        <v>0.8620689655</v>
      </c>
      <c r="G35" s="4"/>
      <c r="H35" s="31" t="s">
        <v>33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9" t="s">
        <v>23</v>
      </c>
      <c r="B36" s="4"/>
      <c r="C36" s="4"/>
      <c r="D36" s="4"/>
      <c r="E36" s="4"/>
      <c r="F36" s="32">
        <f>F35*F2</f>
        <v>25.86206897</v>
      </c>
      <c r="G36" s="4"/>
      <c r="H36" s="19" t="s">
        <v>34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9" t="s">
        <v>25</v>
      </c>
      <c r="B37" s="4"/>
      <c r="C37" s="4"/>
      <c r="D37" s="4"/>
      <c r="E37" s="4"/>
      <c r="F37" s="33">
        <f>F43/F41</f>
        <v>0.3</v>
      </c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9" t="s">
        <v>26</v>
      </c>
      <c r="B38" s="4"/>
      <c r="C38" s="4"/>
      <c r="D38" s="4"/>
      <c r="E38" s="4"/>
      <c r="F38" s="34">
        <f>F6*B34</f>
        <v>0.61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9" t="s">
        <v>27</v>
      </c>
      <c r="B39" s="19"/>
      <c r="C39" s="4"/>
      <c r="D39" s="4"/>
      <c r="E39" s="4"/>
      <c r="F39" s="32">
        <f>F42*F2*F5</f>
        <v>51.72413793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9" t="s">
        <v>28</v>
      </c>
      <c r="B40" s="4"/>
      <c r="C40" s="4"/>
      <c r="D40" s="4"/>
      <c r="E40" s="4"/>
      <c r="F40" s="35">
        <v>1.0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9" t="s">
        <v>29</v>
      </c>
      <c r="B41" s="19"/>
      <c r="C41" s="19"/>
      <c r="D41" s="19"/>
      <c r="E41" s="4"/>
      <c r="F41" s="36">
        <f>F43/F7</f>
        <v>0.4597701149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8" t="s">
        <v>14</v>
      </c>
      <c r="B42" s="4"/>
      <c r="C42" s="4"/>
      <c r="D42" s="4"/>
      <c r="E42" s="4"/>
      <c r="F42" s="10">
        <f>F11</f>
        <v>0.8620689655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9" t="s">
        <v>31</v>
      </c>
      <c r="B43" s="4"/>
      <c r="C43" s="4"/>
      <c r="D43" s="4"/>
      <c r="E43" s="4"/>
      <c r="F43" s="10">
        <f>B34-F14</f>
        <v>0.1379310345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"/>
      <c r="B44" s="19"/>
      <c r="C44" s="19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1" t="s">
        <v>35</v>
      </c>
      <c r="B45" s="12"/>
      <c r="C45" s="37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2"/>
      <c r="B46" s="4"/>
      <c r="C46" s="19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9" t="s">
        <v>32</v>
      </c>
      <c r="B47" s="19">
        <v>3.0</v>
      </c>
      <c r="C47" s="4"/>
      <c r="D47" s="4"/>
      <c r="E47" s="38"/>
      <c r="F47" s="39" t="s">
        <v>5</v>
      </c>
      <c r="G47" s="4"/>
      <c r="H47" s="31" t="s">
        <v>36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0" t="s">
        <v>37</v>
      </c>
      <c r="B48" s="4"/>
      <c r="C48" s="4"/>
      <c r="D48" s="4"/>
      <c r="E48" s="41">
        <f>F48</f>
        <v>0.8620689655</v>
      </c>
      <c r="F48" s="42">
        <f>F11</f>
        <v>0.8620689655</v>
      </c>
      <c r="G48" s="4"/>
      <c r="H48" s="19" t="s">
        <v>38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0" t="s">
        <v>39</v>
      </c>
      <c r="B49" s="4"/>
      <c r="C49" s="4"/>
      <c r="D49" s="4"/>
      <c r="E49" s="43">
        <f>F48+F7</f>
        <v>1.162068966</v>
      </c>
      <c r="F49" s="22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0" t="s">
        <v>40</v>
      </c>
      <c r="B50" s="4"/>
      <c r="C50" s="4"/>
      <c r="D50" s="4"/>
      <c r="E50" s="41">
        <f>F11+E49</f>
        <v>2.024137931</v>
      </c>
      <c r="F50" s="42">
        <f>E49+F7</f>
        <v>1.462068966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0" t="s">
        <v>41</v>
      </c>
      <c r="B51" s="4"/>
      <c r="C51" s="4"/>
      <c r="D51" s="4"/>
      <c r="E51" s="44"/>
      <c r="F51" s="45">
        <f>F50+F11</f>
        <v>2.324137931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0" t="s">
        <v>42</v>
      </c>
      <c r="B52" s="4"/>
      <c r="C52" s="4"/>
      <c r="D52" s="4"/>
      <c r="E52" s="46">
        <f>E50+F7</f>
        <v>2.324137931</v>
      </c>
      <c r="F52" s="22"/>
      <c r="G52" s="4"/>
      <c r="H52" s="19" t="s">
        <v>43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0" t="s">
        <v>44</v>
      </c>
      <c r="B53" s="4"/>
      <c r="C53" s="4"/>
      <c r="D53" s="4"/>
      <c r="E53" s="41">
        <f>E52+F11</f>
        <v>3.186206897</v>
      </c>
      <c r="F53" s="42">
        <f>F51+F7</f>
        <v>2.624137931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0" t="s">
        <v>45</v>
      </c>
      <c r="B54" s="4"/>
      <c r="C54" s="4"/>
      <c r="D54" s="4"/>
      <c r="E54" s="47"/>
      <c r="F54" s="48">
        <f>F53+F11</f>
        <v>3.486206897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9" t="s">
        <v>21</v>
      </c>
      <c r="B57" s="4"/>
      <c r="C57" s="4"/>
      <c r="D57" s="4"/>
      <c r="F57" s="49">
        <f>F64/F62</f>
        <v>0.8620689655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9" t="s">
        <v>23</v>
      </c>
      <c r="B58" s="4"/>
      <c r="C58" s="4"/>
      <c r="D58" s="4"/>
      <c r="F58" s="32">
        <f>F57*F2</f>
        <v>25.86206897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9" t="s">
        <v>25</v>
      </c>
      <c r="B59" s="4"/>
      <c r="C59" s="4"/>
      <c r="D59" s="4"/>
      <c r="F59" s="33">
        <f>F65/F63</f>
        <v>0.3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9" t="s">
        <v>26</v>
      </c>
      <c r="B60" s="4"/>
      <c r="C60" s="4"/>
      <c r="D60" s="4"/>
      <c r="F60" s="34">
        <f>F6*B47*2</f>
        <v>3.66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9" t="s">
        <v>46</v>
      </c>
      <c r="B61" s="4"/>
      <c r="C61" s="4"/>
      <c r="D61" s="4"/>
      <c r="F61" s="50">
        <f>F64*F2*F5</f>
        <v>270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9" t="s">
        <v>28</v>
      </c>
      <c r="B62" s="4"/>
      <c r="C62" s="4"/>
      <c r="D62" s="4"/>
      <c r="F62" s="33">
        <f>F64/F11</f>
        <v>5.22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9" t="s">
        <v>29</v>
      </c>
      <c r="B63" s="4"/>
      <c r="C63" s="4"/>
      <c r="D63" s="4"/>
      <c r="F63" s="51">
        <v>4.0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28" t="s">
        <v>14</v>
      </c>
      <c r="B64" s="4"/>
      <c r="C64" s="4"/>
      <c r="D64" s="4"/>
      <c r="F64" s="9">
        <f>4*F11+(B47-E52)+(B47-F53)</f>
        <v>4.5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9" t="s">
        <v>31</v>
      </c>
      <c r="B65" s="4"/>
      <c r="C65" s="4"/>
      <c r="D65" s="4"/>
      <c r="F65" s="9">
        <f>4*F7</f>
        <v>1.2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2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2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2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2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2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2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2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2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2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2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2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2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2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2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2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2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2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2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2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2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2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2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2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2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2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2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2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2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2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2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2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2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2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2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2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2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2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2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2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2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2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2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2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2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2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2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2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2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2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2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2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2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2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2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2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2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2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2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2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2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2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2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2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2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2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2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2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2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2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2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2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2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2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2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2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2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2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2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2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2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2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2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2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2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2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2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2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2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2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2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2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2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2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2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2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2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2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2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2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2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2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2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2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2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2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2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2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2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2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2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2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2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2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2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2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2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2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2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2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2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2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2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2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2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2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2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2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2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2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2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2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2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2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2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2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2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2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2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2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2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2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2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2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2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2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2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2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2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2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2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2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2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2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2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2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2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2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2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2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2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2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2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2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2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2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2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2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2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2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2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2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2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2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2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2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2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2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2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2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2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2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2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2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2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2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2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2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2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2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2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2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2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2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2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2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2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2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2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2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2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2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2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2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2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2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2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2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2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2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2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2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2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2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2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2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2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2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2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2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2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2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2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2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2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2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2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2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2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2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2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2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2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2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2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2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2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2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2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2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2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2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2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2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2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2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2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2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2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2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2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2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2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2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2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2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2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2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2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2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2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2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2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2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2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2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2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2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2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2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2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2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2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2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2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2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2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2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2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2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2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2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2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2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2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2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2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2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2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2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2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2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2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2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2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2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2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2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2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2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2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2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2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2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2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2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2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2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2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2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2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2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2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2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2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2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2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2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2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2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2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2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2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2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2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2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2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2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2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2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2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2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2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2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2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2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2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2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2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2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2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2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2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2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2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2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2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2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2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2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2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2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2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2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2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2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2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2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2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2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2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2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2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2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2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2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2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2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2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2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2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2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2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2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2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2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2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2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2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2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2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2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2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2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2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2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2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2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2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2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2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2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2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2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2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2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2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2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2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2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2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2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2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2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2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2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2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2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2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2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2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2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2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2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2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2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2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2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2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2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2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2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2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2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2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2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2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2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2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2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2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2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2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2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2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2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2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2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2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2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2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2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2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2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2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2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2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2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2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2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2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2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2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2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2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2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2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2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2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2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2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2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2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2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2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2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2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2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2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2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2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2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2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2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2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2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2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2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2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2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2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2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2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2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2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2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2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2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2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2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2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2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2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2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2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2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2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2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2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2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2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2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2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2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2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2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2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2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2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2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2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2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2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2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2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2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2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2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2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2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2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2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2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2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2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2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2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2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2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2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2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2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2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2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2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2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2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2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2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2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2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2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2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2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2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2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2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2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2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2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2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2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2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2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2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2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2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2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2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2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2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2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2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2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2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2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2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2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2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2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2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2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2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2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2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2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2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2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2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2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2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2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2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2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2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2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2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2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2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2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2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2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2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2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2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2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2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2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2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2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2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2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2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2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2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2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2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2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2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2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2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2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2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2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2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2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2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2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2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2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2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2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2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2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2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2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2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2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2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2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2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2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2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2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2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2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2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2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2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2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2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2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2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2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2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2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2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2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2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2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2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2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2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2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2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2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2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2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2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2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2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2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2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2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2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2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2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2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2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2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2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2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2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2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2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2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2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2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2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2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2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2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2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2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2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2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2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2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2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2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2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2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2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2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2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2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2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2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2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2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2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2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2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2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2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2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2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2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2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2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2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2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2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2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2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2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2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2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2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2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2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2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2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2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2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2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2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2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2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2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2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2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2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2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2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2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2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2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2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2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2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2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2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2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2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2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2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2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2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2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2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2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2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2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2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2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2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2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2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2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2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2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2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2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2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2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2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2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2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2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2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2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2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2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2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2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2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2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2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2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2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2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2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2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2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2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2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2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2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2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2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2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2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</sheetData>
  <hyperlinks>
    <hyperlink r:id="rId1" ref="H29"/>
  </hyperlinks>
  <drawing r:id="rId2"/>
</worksheet>
</file>