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ca\Downloads\"/>
    </mc:Choice>
  </mc:AlternateContent>
  <bookViews>
    <workbookView xWindow="0" yWindow="0" windowWidth="20490" windowHeight="7530"/>
  </bookViews>
  <sheets>
    <sheet name="Scenario Summary" sheetId="4" r:id="rId1"/>
    <sheet name="Mode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G28" i="1" l="1"/>
  <c r="H28" i="1" s="1"/>
  <c r="I28" i="1" s="1"/>
  <c r="J28" i="1" s="1"/>
  <c r="E28" i="1"/>
  <c r="D28" i="1"/>
  <c r="F28" i="1" s="1"/>
  <c r="C29" i="1" l="1"/>
  <c r="C30" i="1" s="1"/>
  <c r="E29" i="1"/>
  <c r="E30" i="1" s="1"/>
  <c r="F29" i="1"/>
  <c r="F30" i="1" s="1"/>
  <c r="G29" i="1"/>
  <c r="G30" i="1" s="1"/>
  <c r="H29" i="1"/>
  <c r="H30" i="1" s="1"/>
  <c r="I29" i="1"/>
  <c r="I30" i="1" s="1"/>
  <c r="J29" i="1"/>
  <c r="J30" i="1" s="1"/>
  <c r="D29" i="1"/>
  <c r="D30" i="1" s="1"/>
  <c r="B60" i="1" l="1"/>
  <c r="C55" i="1"/>
  <c r="D42" i="1"/>
  <c r="E42" i="1"/>
  <c r="F42" i="1"/>
  <c r="G42" i="1"/>
  <c r="H42" i="1"/>
  <c r="I42" i="1"/>
  <c r="J42" i="1"/>
  <c r="C42" i="1"/>
  <c r="D38" i="1"/>
  <c r="E38" i="1"/>
  <c r="F38" i="1"/>
  <c r="G38" i="1"/>
  <c r="H38" i="1"/>
  <c r="I38" i="1"/>
  <c r="J38" i="1"/>
  <c r="C38" i="1"/>
  <c r="D35" i="1"/>
  <c r="E35" i="1"/>
  <c r="F35" i="1"/>
  <c r="G35" i="1"/>
  <c r="H35" i="1"/>
  <c r="I35" i="1"/>
  <c r="J35" i="1"/>
  <c r="C35" i="1"/>
  <c r="D37" i="1"/>
  <c r="E37" i="1"/>
  <c r="F37" i="1"/>
  <c r="G37" i="1"/>
  <c r="H37" i="1"/>
  <c r="I37" i="1"/>
  <c r="J37" i="1"/>
  <c r="C37" i="1"/>
  <c r="C33" i="1"/>
  <c r="C41" i="1" l="1"/>
  <c r="I41" i="1"/>
  <c r="E41" i="1"/>
  <c r="I40" i="1"/>
  <c r="E40" i="1"/>
  <c r="H40" i="1"/>
  <c r="D40" i="1"/>
  <c r="H41" i="1"/>
  <c r="D41" i="1"/>
  <c r="G40" i="1"/>
  <c r="G41" i="1"/>
  <c r="J40" i="1"/>
  <c r="F40" i="1"/>
  <c r="J41" i="1"/>
  <c r="F41" i="1"/>
  <c r="C40" i="1"/>
  <c r="C44" i="1" s="1"/>
  <c r="C45" i="1" s="1"/>
  <c r="C46" i="1" l="1"/>
  <c r="C47" i="1" s="1"/>
  <c r="C49" i="1" l="1"/>
  <c r="C51" i="1" s="1"/>
  <c r="C22" i="1"/>
  <c r="C60" i="1"/>
  <c r="C50" i="1" l="1"/>
  <c r="C56" i="1" s="1"/>
  <c r="H44" i="1"/>
  <c r="H45" i="1" s="1"/>
  <c r="I44" i="1"/>
  <c r="I45" i="1" s="1"/>
  <c r="G44" i="1"/>
  <c r="G45" i="1" s="1"/>
  <c r="J44" i="1"/>
  <c r="J45" i="1" s="1"/>
  <c r="J46" i="1" s="1"/>
  <c r="E44" i="1"/>
  <c r="E45" i="1" s="1"/>
  <c r="E46" i="1" s="1"/>
  <c r="F44" i="1"/>
  <c r="F45" i="1" s="1"/>
  <c r="D44" i="1"/>
  <c r="D45" i="1" s="1"/>
  <c r="J47" i="1" l="1"/>
  <c r="J22" i="1" s="1"/>
  <c r="H46" i="1"/>
  <c r="H47" i="1" s="1"/>
  <c r="F46" i="1"/>
  <c r="F47" i="1" s="1"/>
  <c r="G46" i="1"/>
  <c r="G47" i="1" s="1"/>
  <c r="I46" i="1"/>
  <c r="I47" i="1" s="1"/>
  <c r="E47" i="1"/>
  <c r="D46" i="1"/>
  <c r="D47" i="1" s="1"/>
  <c r="J60" i="1" l="1"/>
  <c r="H60" i="1"/>
  <c r="H22" i="1"/>
  <c r="G22" i="1"/>
  <c r="G60" i="1"/>
  <c r="D22" i="1"/>
  <c r="D60" i="1"/>
  <c r="E22" i="1"/>
  <c r="E60" i="1"/>
  <c r="I60" i="1"/>
  <c r="I22" i="1"/>
  <c r="F60" i="1"/>
  <c r="F22" i="1"/>
  <c r="C57" i="1"/>
  <c r="C58" i="1" s="1"/>
  <c r="C52" i="1"/>
  <c r="D33" i="1" s="1"/>
  <c r="D49" i="1" s="1"/>
  <c r="D51" i="1" s="1"/>
  <c r="D55" i="1" l="1"/>
  <c r="C24" i="1"/>
  <c r="B62" i="1"/>
  <c r="J25" i="1" s="1"/>
  <c r="D50" i="1"/>
  <c r="D56" i="1" s="1"/>
  <c r="C23" i="1"/>
  <c r="D57" i="1"/>
  <c r="D58" i="1" l="1"/>
  <c r="E55" i="1" s="1"/>
  <c r="D52" i="1"/>
  <c r="D23" i="1" s="1"/>
  <c r="D24" i="1" l="1"/>
  <c r="E33" i="1"/>
  <c r="E49" i="1" s="1"/>
  <c r="E50" i="1" s="1"/>
  <c r="E56" i="1" s="1"/>
  <c r="E51" i="1" l="1"/>
  <c r="E57" i="1" s="1"/>
  <c r="E58" i="1" s="1"/>
  <c r="E52" i="1" l="1"/>
  <c r="E23" i="1" s="1"/>
  <c r="E24" i="1"/>
  <c r="F55" i="1"/>
  <c r="F33" i="1" l="1"/>
  <c r="F49" i="1" s="1"/>
  <c r="F51" i="1" s="1"/>
  <c r="F57" i="1" s="1"/>
  <c r="F50" i="1" l="1"/>
  <c r="F56" i="1" s="1"/>
  <c r="F58" i="1" s="1"/>
  <c r="F24" i="1" s="1"/>
  <c r="F52" i="1" l="1"/>
  <c r="F23" i="1" s="1"/>
  <c r="G55" i="1"/>
  <c r="G33" i="1" l="1"/>
  <c r="G49" i="1" s="1"/>
  <c r="G51" i="1" s="1"/>
  <c r="G57" i="1" s="1"/>
  <c r="G50" i="1" l="1"/>
  <c r="G56" i="1" s="1"/>
  <c r="G58" i="1" s="1"/>
  <c r="G24" i="1" l="1"/>
  <c r="H55" i="1"/>
  <c r="G52" i="1"/>
  <c r="G23" i="1" s="1"/>
  <c r="H33" i="1" l="1"/>
  <c r="H49" i="1" s="1"/>
  <c r="H50" i="1" s="1"/>
  <c r="H56" i="1" s="1"/>
  <c r="H51" i="1" l="1"/>
  <c r="H57" i="1" s="1"/>
  <c r="H58" i="1" s="1"/>
  <c r="I55" i="1" s="1"/>
  <c r="H24" i="1" l="1"/>
  <c r="H52" i="1"/>
  <c r="I33" i="1" s="1"/>
  <c r="I49" i="1" s="1"/>
  <c r="I50" i="1" s="1"/>
  <c r="I56" i="1" s="1"/>
  <c r="I51" i="1" l="1"/>
  <c r="I57" i="1" s="1"/>
  <c r="I58" i="1" s="1"/>
  <c r="H23" i="1"/>
  <c r="I52" i="1" l="1"/>
  <c r="I23" i="1" s="1"/>
  <c r="J55" i="1"/>
  <c r="I24" i="1"/>
  <c r="J33" i="1" l="1"/>
  <c r="J49" i="1" s="1"/>
  <c r="J51" i="1" s="1"/>
  <c r="J57" i="1" s="1"/>
  <c r="J50" i="1" l="1"/>
  <c r="J56" i="1" s="1"/>
  <c r="J58" i="1" s="1"/>
  <c r="J24" i="1" s="1"/>
  <c r="J52" i="1" l="1"/>
  <c r="J23" i="1" s="1"/>
</calcChain>
</file>

<file path=xl/comments1.xml><?xml version="1.0" encoding="utf-8"?>
<comments xmlns="http://schemas.openxmlformats.org/spreadsheetml/2006/main">
  <authors>
    <author>Jessica Hoffman</author>
  </authors>
  <commentList>
    <comment ref="C40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12 percent of the difference between Revenue and the Oil Transport cost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 5 percent of the difference between Revenue and the Oil Transport cost</t>
        </r>
      </text>
    </comment>
  </commentList>
</comments>
</file>

<file path=xl/sharedStrings.xml><?xml version="1.0" encoding="utf-8"?>
<sst xmlns="http://schemas.openxmlformats.org/spreadsheetml/2006/main" count="155" uniqueCount="70">
  <si>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</si>
  <si>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</si>
  <si>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</si>
  <si>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</si>
  <si>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</si>
  <si>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</si>
  <si>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</si>
  <si>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</si>
  <si>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</si>
  <si>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</si>
  <si>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</si>
  <si>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</si>
  <si>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</si>
  <si>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</si>
  <si>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</si>
  <si>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</si>
  <si>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</si>
  <si>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 xml:space="preserve">Calculations 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</si>
  <si>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</si>
  <si>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</si>
  <si>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</si>
  <si>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</si>
  <si>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</si>
  <si>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</si>
  <si>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</si>
  <si>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>Oil Tansport ($12/barrel)</t>
  </si>
  <si>
    <t>Well Operations ($3/barrel)</t>
  </si>
  <si>
    <t>General and Administrative</t>
  </si>
  <si>
    <t>Royalties to Land Owners</t>
  </si>
  <si>
    <t>Severance Taxes</t>
  </si>
  <si>
    <t>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</si>
  <si>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</si>
  <si>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</si>
  <si>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</si>
  <si>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</si>
  <si>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Repayment of Debt</t>
  </si>
  <si>
    <t>Add: Increase in Borrowing</t>
  </si>
  <si>
    <t>Less: Repayment of Debt</t>
  </si>
  <si>
    <t>End-of-the Year Cash on Hand</t>
  </si>
  <si>
    <t>Debt Owed</t>
  </si>
  <si>
    <t>Beginning-of-the Year Debt Owed</t>
  </si>
  <si>
    <t>End-of-the Year Debt Owed</t>
  </si>
  <si>
    <t>Net Present Value Data</t>
  </si>
  <si>
    <t>Net Present Value @ 15%</t>
  </si>
  <si>
    <t>CIS300-18</t>
  </si>
  <si>
    <t>Fall 2016</t>
  </si>
  <si>
    <t>Investment Decision</t>
  </si>
  <si>
    <t xml:space="preserve">Case 07: The Fracking Oil </t>
  </si>
  <si>
    <t>Model</t>
  </si>
  <si>
    <t>Scenario Summary</t>
  </si>
  <si>
    <t>page 1 of 2</t>
  </si>
  <si>
    <t>$B$19</t>
  </si>
  <si>
    <t>$B$17</t>
  </si>
  <si>
    <t>$B$62</t>
  </si>
  <si>
    <t>His 50 - $10 million investment, $50 per barrel</t>
  </si>
  <si>
    <t>Created by Jessica Hoffman on 11/22/2016
Modified by Jessica Hoffman on 11/22/2016</t>
  </si>
  <si>
    <t>His 70 - $10 million investment, $70 per barrel</t>
  </si>
  <si>
    <t>Created by Jessica Hoffman on 11/22/2016</t>
  </si>
  <si>
    <t>His 90 - $10 million investment, $90 per barrel</t>
  </si>
  <si>
    <t>His 110 - $10 million investment, $110 per barrel</t>
  </si>
  <si>
    <t>Yours 50 - $5 million investment, $50 per barrel</t>
  </si>
  <si>
    <t>Yours 70 - $5 million investment, $70 per barrel</t>
  </si>
  <si>
    <t>Yours 90 - $5 million investment, $90 per barrel</t>
  </si>
  <si>
    <t>Yours 110 - $5 million investment, $110 per barrel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</si>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</sst>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6" fillId="2" borderId="0" xfId="3" applyFont="1"/>
    <xf numFmtId="0" fontId="7" fillId="0" borderId="0" xfId="0" applyFont="1" applyAlignment="1">
      <alignment horizontal="center"/>
    </xf>
    <xf numFmtId="0" fontId="8" fillId="3" borderId="0" xfId="4" applyFont="1"/>
    <xf numFmtId="0" fontId="8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/>
    <xf numFmtId="2" fontId="8" fillId="0" borderId="0" xfId="0" applyNumberFormat="1" applyFont="1"/>
    <xf numFmtId="44" fontId="8" fillId="0" borderId="0" xfId="0" applyNumberFormat="1" applyFont="1"/>
    <xf numFmtId="2" fontId="8" fillId="0" borderId="1" xfId="2" applyNumberFormat="1" applyFont="1" applyBorder="1"/>
    <xf numFmtId="4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8" fillId="0" borderId="5" xfId="0" applyNumberFormat="1" applyFont="1" applyBorder="1"/>
    <xf numFmtId="0" fontId="8" fillId="0" borderId="0" xfId="0" applyFont="1" applyAlignment="1">
      <alignment horizontal="center" vertical="top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7"/>
    </xf>
    <xf numFmtId="0" fontId="0" fillId="0" borderId="3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/>
    <xf numFmtId="0" fontId="8" fillId="0" borderId="7" xfId="0" applyFont="1" applyBorder="1"/>
    <xf numFmtId="0" fontId="8" fillId="0" borderId="2" xfId="0" applyFont="1" applyBorder="1" applyAlignment="1">
      <alignment horizontal="left" indent="6"/>
    </xf>
    <xf numFmtId="0" fontId="8" fillId="0" borderId="2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3" xfId="0" applyFont="1" applyBorder="1" applyAlignment="1">
      <alignment horizontal="left" indent="7"/>
    </xf>
    <xf numFmtId="0" fontId="8" fillId="0" borderId="3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164" fontId="8" fillId="0" borderId="0" xfId="0" applyNumberFormat="1" applyFont="1"/>
    <xf numFmtId="164" fontId="8" fillId="0" borderId="4" xfId="0" applyNumberFormat="1" applyFont="1" applyBorder="1"/>
    <xf numFmtId="164" fontId="11" fillId="0" borderId="0" xfId="0" applyNumberFormat="1" applyFont="1"/>
    <xf numFmtId="164" fontId="11" fillId="0" borderId="9" xfId="0" applyNumberFormat="1" applyFont="1" applyBorder="1"/>
    <xf numFmtId="164" fontId="8" fillId="0" borderId="3" xfId="0" applyNumberFormat="1" applyFont="1" applyBorder="1"/>
    <xf numFmtId="164" fontId="8" fillId="0" borderId="6" xfId="0" applyNumberFormat="1" applyFont="1" applyBorder="1"/>
    <xf numFmtId="164" fontId="8" fillId="0" borderId="6" xfId="0" applyNumberFormat="1" applyFont="1" applyBorder="1" applyAlignment="1">
      <alignment horizontal="center"/>
    </xf>
    <xf numFmtId="164" fontId="8" fillId="0" borderId="5" xfId="0" applyNumberFormat="1" applyFont="1" applyBorder="1"/>
    <xf numFmtId="164" fontId="10" fillId="0" borderId="1" xfId="0" applyNumberFormat="1" applyFont="1" applyBorder="1"/>
    <xf numFmtId="164" fontId="11" fillId="0" borderId="1" xfId="0" applyNumberFormat="1" applyFont="1" applyBorder="1"/>
    <xf numFmtId="164" fontId="8" fillId="0" borderId="0" xfId="1" applyNumberFormat="1" applyFont="1"/>
    <xf numFmtId="164" fontId="8" fillId="0" borderId="1" xfId="0" applyNumberFormat="1" applyFont="1" applyBorder="1"/>
    <xf numFmtId="165" fontId="8" fillId="0" borderId="0" xfId="5" applyNumberFormat="1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6" xfId="0" applyNumberFormat="1" applyFill="1" applyBorder="1" applyAlignment="1"/>
    <xf numFmtId="0" fontId="12" fillId="4" borderId="3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0" fillId="0" borderId="4" xfId="0" applyFill="1" applyBorder="1" applyAlignment="1"/>
    <xf numFmtId="0" fontId="13" fillId="5" borderId="0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right"/>
    </xf>
    <xf numFmtId="0" fontId="15" fillId="4" borderId="3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16" fillId="0" borderId="0" xfId="0" applyFont="1" applyFill="1" applyBorder="1" applyAlignment="1">
      <alignment vertical="top" wrapText="1"/>
    </xf>
  </cellXfs>
  <cellStyles count="6">
    <cellStyle name="40% - Accent1" xfId="4" builtinId="31"/>
    <cellStyle name="Accent1" xfId="3" builtinId="29"/>
    <cellStyle name="Comma" xfId="5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L14"/>
  <sheetViews>
    <sheetView showGridLines="0" tabSelected="1" workbookViewId="0">
      <selection activeCell="E11" sqref="E11"/>
    </sheetView>
  </sheetViews>
  <sheetFormatPr defaultRowHeight="15" outlineLevelRow="1" outlineLevelCol="1" x14ac:dyDescent="0.25"/>
  <cols>
    <col min="3" max="3" width="6.140625" customWidth="1"/>
    <col min="4" max="4" width="34" customWidth="1" outlineLevel="1"/>
    <col min="5" max="5" width="34.7109375" customWidth="1" outlineLevel="1"/>
    <col min="6" max="6" width="30.140625" customWidth="1" outlineLevel="1"/>
    <col min="7" max="7" width="35.5703125" customWidth="1" outlineLevel="1"/>
    <col min="8" max="8" width="37.5703125" customWidth="1" outlineLevel="1"/>
    <col min="9" max="9" width="35.85546875" customWidth="1" outlineLevel="1"/>
    <col min="10" max="10" width="33.5703125" customWidth="1" outlineLevel="1"/>
    <col min="11" max="11" width="33" customWidth="1" outlineLevel="1"/>
    <col min="12" max="12" width="34.42578125" customWidth="1" outlineLevel="1"/>
  </cols>
  <sheetData>
    <row r="1" spans="2:12" x14ac:dyDescent="0.25">
      <c r="D1" s="21" t="s">
        <v>44</v>
      </c>
      <c r="E1" s="18" t="s">
        <v>47</v>
      </c>
      <c r="F1" s="24"/>
      <c r="G1" s="23" t="s">
        <v>49</v>
      </c>
    </row>
    <row r="2" spans="2:12" x14ac:dyDescent="0.25">
      <c r="D2" s="22" t="s">
        <v>45</v>
      </c>
      <c r="E2" s="19" t="s">
        <v>46</v>
      </c>
      <c r="F2" s="20"/>
      <c r="G2" s="22"/>
    </row>
    <row r="3" spans="2:12" ht="15.75" thickBot="1" x14ac:dyDescent="0.3"/>
    <row r="4" spans="2:12" ht="15.75" x14ac:dyDescent="0.25">
      <c r="B4" s="51" t="s">
        <v>49</v>
      </c>
      <c r="C4" s="51"/>
      <c r="D4" s="56"/>
      <c r="E4" s="56"/>
      <c r="F4" s="56"/>
      <c r="G4" s="56"/>
      <c r="H4" s="56"/>
      <c r="I4" s="56"/>
      <c r="J4" s="56"/>
      <c r="K4" s="56"/>
      <c r="L4" s="56"/>
    </row>
    <row r="5" spans="2:12" ht="15.75" collapsed="1" x14ac:dyDescent="0.25">
      <c r="B5" s="50"/>
      <c r="C5" s="50"/>
      <c r="D5" s="57" t="s">
        <v>65</v>
      </c>
      <c r="E5" s="57" t="s">
        <v>54</v>
      </c>
      <c r="F5" s="57" t="s">
        <v>56</v>
      </c>
      <c r="G5" s="57" t="s">
        <v>58</v>
      </c>
      <c r="H5" s="57" t="s">
        <v>59</v>
      </c>
      <c r="I5" s="57" t="s">
        <v>60</v>
      </c>
      <c r="J5" s="57" t="s">
        <v>61</v>
      </c>
      <c r="K5" s="57" t="s">
        <v>62</v>
      </c>
      <c r="L5" s="57" t="s">
        <v>63</v>
      </c>
    </row>
    <row r="6" spans="2:12" ht="22.5" hidden="1" outlineLevel="1" x14ac:dyDescent="0.25">
      <c r="B6" s="53"/>
      <c r="C6" s="53"/>
      <c r="D6" s="47"/>
      <c r="E6" s="59" t="s">
        <v>55</v>
      </c>
      <c r="F6" s="59" t="s">
        <v>57</v>
      </c>
      <c r="G6" s="59" t="s">
        <v>57</v>
      </c>
      <c r="H6" s="59" t="s">
        <v>57</v>
      </c>
      <c r="I6" s="59" t="s">
        <v>57</v>
      </c>
      <c r="J6" s="59" t="s">
        <v>57</v>
      </c>
      <c r="K6" s="59" t="s">
        <v>57</v>
      </c>
      <c r="L6" s="59" t="s">
        <v>57</v>
      </c>
    </row>
    <row r="7" spans="2:12" x14ac:dyDescent="0.25">
      <c r="B7" s="54" t="s">
        <v>64</v>
      </c>
      <c r="C7" s="54"/>
      <c r="D7" s="52"/>
      <c r="E7" s="52"/>
      <c r="F7" s="52"/>
      <c r="G7" s="52"/>
      <c r="H7" s="52"/>
      <c r="I7" s="52"/>
      <c r="J7" s="52"/>
      <c r="K7" s="52"/>
      <c r="L7" s="52"/>
    </row>
    <row r="8" spans="2:12" outlineLevel="1" x14ac:dyDescent="0.25">
      <c r="B8" s="53"/>
      <c r="C8" s="53" t="s">
        <v>51</v>
      </c>
      <c r="D8" s="48">
        <v>5000000</v>
      </c>
      <c r="E8" s="58">
        <v>10000000</v>
      </c>
      <c r="F8" s="58">
        <v>10000000</v>
      </c>
      <c r="G8" s="58">
        <v>10000000</v>
      </c>
      <c r="H8" s="58">
        <v>10000000</v>
      </c>
      <c r="I8" s="58">
        <v>5000000</v>
      </c>
      <c r="J8" s="58">
        <v>5000000</v>
      </c>
      <c r="K8" s="58">
        <v>5000000</v>
      </c>
      <c r="L8" s="58">
        <v>5000000</v>
      </c>
    </row>
    <row r="9" spans="2:12" outlineLevel="1" x14ac:dyDescent="0.25">
      <c r="B9" s="53"/>
      <c r="C9" s="53" t="s">
        <v>52</v>
      </c>
      <c r="D9" s="48">
        <v>50</v>
      </c>
      <c r="E9" s="58">
        <v>50</v>
      </c>
      <c r="F9" s="58">
        <v>70</v>
      </c>
      <c r="G9" s="58">
        <v>90</v>
      </c>
      <c r="H9" s="58">
        <v>110</v>
      </c>
      <c r="I9" s="58">
        <v>50</v>
      </c>
      <c r="J9" s="58">
        <v>70</v>
      </c>
      <c r="K9" s="58">
        <v>90</v>
      </c>
      <c r="L9" s="58">
        <v>110</v>
      </c>
    </row>
    <row r="10" spans="2:12" x14ac:dyDescent="0.25">
      <c r="B10" s="54" t="s">
        <v>66</v>
      </c>
      <c r="C10" s="54"/>
      <c r="D10" s="52"/>
      <c r="E10" s="52"/>
      <c r="F10" s="52"/>
      <c r="G10" s="52"/>
      <c r="H10" s="52"/>
      <c r="I10" s="52"/>
      <c r="J10" s="52"/>
      <c r="K10" s="52"/>
      <c r="L10" s="52"/>
    </row>
    <row r="11" spans="2:12" ht="15.75" outlineLevel="1" thickBot="1" x14ac:dyDescent="0.3">
      <c r="B11" s="55"/>
      <c r="C11" s="55" t="s">
        <v>53</v>
      </c>
      <c r="D11" s="49">
        <v>6785046.5037220595</v>
      </c>
      <c r="E11" s="49">
        <v>11785046.5037221</v>
      </c>
      <c r="F11" s="49">
        <v>14499450.379743099</v>
      </c>
      <c r="G11" s="49">
        <v>17171915.4540447</v>
      </c>
      <c r="H11" s="49">
        <v>19823570.931130301</v>
      </c>
      <c r="I11" s="49">
        <v>6785046.5037220595</v>
      </c>
      <c r="J11" s="49">
        <v>9499450.3797431495</v>
      </c>
      <c r="K11" s="49">
        <v>12171915.4540447</v>
      </c>
      <c r="L11" s="49">
        <v>14823570.931130299</v>
      </c>
    </row>
    <row r="12" spans="2:12" x14ac:dyDescent="0.25">
      <c r="B12" t="s">
        <v>67</v>
      </c>
    </row>
    <row r="13" spans="2:12" x14ac:dyDescent="0.25">
      <c r="B13" t="s">
        <v>68</v>
      </c>
    </row>
    <row r="14" spans="2:12" x14ac:dyDescent="0.25">
      <c r="B1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J67"/>
  <sheetViews>
    <sheetView topLeftCell="A44" workbookViewId="0">
      <selection activeCell="B59" sqref="B59"/>
    </sheetView>
  </sheetViews>
  <sheetFormatPr defaultRowHeight="15" x14ac:dyDescent="0.25"/>
  <cols>
    <col min="1" max="1" width="35.42578125" customWidth="1"/>
    <col min="2" max="10" width="18.7109375" customWidth="1"/>
  </cols>
  <sheetData>
    <row r="2" spans="1:10" ht="16.5" x14ac:dyDescent="0.3">
      <c r="B2" s="26" t="s">
        <v>44</v>
      </c>
      <c r="C2" s="27" t="s">
        <v>47</v>
      </c>
      <c r="D2" s="28"/>
      <c r="E2" s="29" t="s">
        <v>48</v>
      </c>
    </row>
    <row r="3" spans="1:10" ht="16.5" x14ac:dyDescent="0.3">
      <c r="B3" s="30" t="s">
        <v>45</v>
      </c>
      <c r="C3" s="31" t="s">
        <v>46</v>
      </c>
      <c r="D3" s="32"/>
      <c r="E3" s="30"/>
    </row>
    <row r="7" spans="1:10" ht="16.5" x14ac:dyDescent="0.3">
      <c r="A7" s="1" t="s">
        <v>0</v>
      </c>
      <c r="B7" s="7"/>
      <c r="C7" s="2"/>
      <c r="D7" s="8"/>
      <c r="E7" s="4"/>
      <c r="F7" s="4"/>
      <c r="G7" s="4"/>
      <c r="H7" s="4"/>
      <c r="I7" s="4"/>
      <c r="J7" s="4"/>
    </row>
    <row r="8" spans="1:10" ht="16.5" x14ac:dyDescent="0.3">
      <c r="B8" s="4"/>
      <c r="C8" s="4"/>
      <c r="D8" s="4"/>
      <c r="E8" s="4"/>
      <c r="F8" s="4"/>
      <c r="G8" s="4"/>
      <c r="H8" s="4"/>
      <c r="I8" s="4"/>
      <c r="J8" s="4"/>
    </row>
    <row r="9" spans="1:10" ht="16.5" x14ac:dyDescent="0.3">
      <c r="A9" s="3" t="s">
        <v>1</v>
      </c>
      <c r="B9" s="8">
        <v>2016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</row>
    <row r="10" spans="1:10" ht="16.5" x14ac:dyDescent="0.3">
      <c r="A10" s="4" t="s">
        <v>2</v>
      </c>
      <c r="B10" s="9" t="s">
        <v>7</v>
      </c>
      <c r="C10" s="10">
        <v>0.2</v>
      </c>
      <c r="D10" s="10">
        <v>0.2</v>
      </c>
      <c r="E10" s="10">
        <v>0.2</v>
      </c>
      <c r="F10" s="10">
        <v>0.2</v>
      </c>
      <c r="G10" s="10">
        <v>0.2</v>
      </c>
      <c r="H10" s="10">
        <v>0.2</v>
      </c>
      <c r="I10" s="10">
        <v>0.2</v>
      </c>
      <c r="J10" s="10">
        <v>0.2</v>
      </c>
    </row>
    <row r="11" spans="1:10" ht="16.5" x14ac:dyDescent="0.3">
      <c r="A11" s="4" t="s">
        <v>3</v>
      </c>
      <c r="B11" s="9" t="s">
        <v>7</v>
      </c>
      <c r="C11" s="44">
        <v>1000000</v>
      </c>
      <c r="D11" s="44">
        <v>1000000</v>
      </c>
      <c r="E11" s="44">
        <v>1000000</v>
      </c>
      <c r="F11" s="44">
        <v>1000000</v>
      </c>
      <c r="G11" s="44">
        <v>1000000</v>
      </c>
      <c r="H11" s="44">
        <v>1000000</v>
      </c>
      <c r="I11" s="44">
        <v>1000000</v>
      </c>
      <c r="J11" s="44">
        <v>1000000</v>
      </c>
    </row>
    <row r="12" spans="1:10" ht="16.5" x14ac:dyDescent="0.3">
      <c r="A12" s="4" t="s">
        <v>4</v>
      </c>
      <c r="B12" s="9" t="s">
        <v>7</v>
      </c>
      <c r="C12" s="11">
        <v>0.7</v>
      </c>
      <c r="D12" s="11">
        <v>0.3</v>
      </c>
      <c r="E12" s="11">
        <v>0.25</v>
      </c>
      <c r="F12" s="11">
        <v>0.25</v>
      </c>
      <c r="G12" s="11">
        <v>0.2</v>
      </c>
      <c r="H12" s="11">
        <v>0.2</v>
      </c>
      <c r="I12" s="11">
        <v>0.2</v>
      </c>
      <c r="J12" s="11">
        <v>0.15</v>
      </c>
    </row>
    <row r="13" spans="1:10" ht="16.5" x14ac:dyDescent="0.3">
      <c r="A13" s="4" t="s">
        <v>5</v>
      </c>
      <c r="B13" s="9" t="s">
        <v>7</v>
      </c>
      <c r="C13" s="9">
        <v>500</v>
      </c>
      <c r="D13" s="9" t="s">
        <v>7</v>
      </c>
      <c r="E13" s="9" t="s">
        <v>7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</row>
    <row r="14" spans="1:10" ht="16.5" x14ac:dyDescent="0.3">
      <c r="A14" s="4" t="s">
        <v>6</v>
      </c>
      <c r="B14" s="9" t="s">
        <v>7</v>
      </c>
      <c r="C14" s="34">
        <v>500000</v>
      </c>
      <c r="D14" s="34">
        <v>500000</v>
      </c>
      <c r="E14" s="34">
        <v>500000</v>
      </c>
      <c r="F14" s="34">
        <v>500000</v>
      </c>
      <c r="G14" s="34">
        <v>500000</v>
      </c>
      <c r="H14" s="34">
        <v>500000</v>
      </c>
      <c r="I14" s="34">
        <v>500000</v>
      </c>
      <c r="J14" s="34">
        <v>500000</v>
      </c>
    </row>
    <row r="15" spans="1:10" ht="16.5" x14ac:dyDescent="0.3">
      <c r="B15" s="4"/>
      <c r="C15" s="4"/>
      <c r="D15" s="4"/>
      <c r="E15" s="4"/>
      <c r="F15" s="4"/>
      <c r="G15" s="4"/>
      <c r="H15" s="4"/>
      <c r="I15" s="4"/>
      <c r="J15" s="4"/>
    </row>
    <row r="16" spans="1:10" ht="16.5" x14ac:dyDescent="0.3">
      <c r="A16" s="3" t="s">
        <v>8</v>
      </c>
      <c r="B16" s="8">
        <v>2016</v>
      </c>
      <c r="C16" s="8">
        <v>2017</v>
      </c>
      <c r="D16" s="8">
        <v>2018</v>
      </c>
      <c r="E16" s="8">
        <v>2019</v>
      </c>
      <c r="F16" s="8">
        <v>2020</v>
      </c>
      <c r="G16" s="8">
        <v>2021</v>
      </c>
      <c r="H16" s="8">
        <v>2022</v>
      </c>
      <c r="I16" s="8">
        <v>2023</v>
      </c>
      <c r="J16" s="8">
        <v>2024</v>
      </c>
    </row>
    <row r="17" spans="1:10" ht="16.5" x14ac:dyDescent="0.3">
      <c r="A17" s="4" t="s">
        <v>9</v>
      </c>
      <c r="B17" s="45">
        <v>50</v>
      </c>
      <c r="C17" s="9" t="s">
        <v>7</v>
      </c>
      <c r="D17" s="9" t="s">
        <v>7</v>
      </c>
      <c r="E17" s="9" t="s">
        <v>7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7</v>
      </c>
    </row>
    <row r="18" spans="1:10" ht="16.5" x14ac:dyDescent="0.3">
      <c r="A18" s="4" t="s">
        <v>10</v>
      </c>
      <c r="B18" s="9" t="s">
        <v>7</v>
      </c>
      <c r="C18" s="13">
        <v>0.04</v>
      </c>
      <c r="D18" s="13">
        <v>0.04</v>
      </c>
      <c r="E18" s="13">
        <v>0.04</v>
      </c>
      <c r="F18" s="13">
        <v>0.04</v>
      </c>
      <c r="G18" s="13">
        <v>0.04</v>
      </c>
      <c r="H18" s="13">
        <v>0.04</v>
      </c>
      <c r="I18" s="13">
        <v>0.04</v>
      </c>
      <c r="J18" s="13">
        <v>0.04</v>
      </c>
    </row>
    <row r="19" spans="1:10" ht="16.5" x14ac:dyDescent="0.3">
      <c r="A19" s="4" t="s">
        <v>11</v>
      </c>
      <c r="B19" s="45">
        <v>5000000</v>
      </c>
      <c r="C19" s="9" t="s">
        <v>7</v>
      </c>
      <c r="D19" s="9" t="s">
        <v>7</v>
      </c>
      <c r="E19" s="9" t="s">
        <v>7</v>
      </c>
      <c r="F19" s="9" t="s">
        <v>7</v>
      </c>
      <c r="G19" s="9" t="s">
        <v>7</v>
      </c>
      <c r="H19" s="9" t="s">
        <v>7</v>
      </c>
      <c r="I19" s="9" t="s">
        <v>7</v>
      </c>
      <c r="J19" s="9" t="s">
        <v>7</v>
      </c>
    </row>
    <row r="20" spans="1:10" ht="16.5" x14ac:dyDescent="0.3">
      <c r="B20" s="4"/>
      <c r="C20" s="9"/>
      <c r="D20" s="4"/>
      <c r="E20" s="4"/>
      <c r="F20" s="4"/>
      <c r="G20" s="4"/>
      <c r="H20" s="4"/>
      <c r="I20" s="4"/>
      <c r="J20" s="4"/>
    </row>
    <row r="21" spans="1:10" ht="16.5" x14ac:dyDescent="0.3">
      <c r="A21" s="3" t="s">
        <v>12</v>
      </c>
      <c r="B21" s="8">
        <v>2016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</row>
    <row r="22" spans="1:10" ht="16.5" x14ac:dyDescent="0.3">
      <c r="A22" s="4" t="s">
        <v>13</v>
      </c>
      <c r="B22" s="9" t="s">
        <v>7</v>
      </c>
      <c r="C22" s="42">
        <f>C47</f>
        <v>2116446</v>
      </c>
      <c r="D22" s="42">
        <f t="shared" ref="D22:J22" si="0">D47</f>
        <v>470544.2</v>
      </c>
      <c r="E22" s="42">
        <f>E47</f>
        <v>173656.85</v>
      </c>
      <c r="F22" s="42">
        <f t="shared" si="0"/>
        <v>-22196.703125</v>
      </c>
      <c r="G22" s="43">
        <f t="shared" si="0"/>
        <v>-186266.02812499995</v>
      </c>
      <c r="H22" s="43">
        <f t="shared" si="0"/>
        <v>-297012.82250000001</v>
      </c>
      <c r="I22" s="43">
        <f t="shared" si="0"/>
        <v>-385610.25799999991</v>
      </c>
      <c r="J22" s="43">
        <f t="shared" si="0"/>
        <v>-448612.87880000001</v>
      </c>
    </row>
    <row r="23" spans="1:10" ht="16.5" x14ac:dyDescent="0.3">
      <c r="A23" s="4" t="s">
        <v>14</v>
      </c>
      <c r="B23" s="9" t="s">
        <v>7</v>
      </c>
      <c r="C23" s="42">
        <f>C52</f>
        <v>3076446</v>
      </c>
      <c r="D23" s="42">
        <f t="shared" ref="D23:J23" si="1">D52</f>
        <v>3506990.2</v>
      </c>
      <c r="E23" s="42">
        <f t="shared" si="1"/>
        <v>3640647.0500000003</v>
      </c>
      <c r="F23" s="42">
        <f t="shared" si="1"/>
        <v>3578450.3468750003</v>
      </c>
      <c r="G23" s="42">
        <f t="shared" si="1"/>
        <v>3352184.3187500006</v>
      </c>
      <c r="H23" s="42">
        <f t="shared" si="1"/>
        <v>3015171.4962500008</v>
      </c>
      <c r="I23" s="42">
        <f t="shared" si="1"/>
        <v>2589561.2382500009</v>
      </c>
      <c r="J23" s="42">
        <f t="shared" si="1"/>
        <v>2100948.3594500008</v>
      </c>
    </row>
    <row r="24" spans="1:10" ht="16.5" x14ac:dyDescent="0.3">
      <c r="A24" s="4" t="s">
        <v>15</v>
      </c>
      <c r="B24" s="9" t="s">
        <v>7</v>
      </c>
      <c r="C24" s="42">
        <f>C58</f>
        <v>-40000</v>
      </c>
      <c r="D24" s="42">
        <f t="shared" ref="D24:J24" si="2">D58</f>
        <v>-40000</v>
      </c>
      <c r="E24" s="42">
        <f t="shared" si="2"/>
        <v>-40000</v>
      </c>
      <c r="F24" s="42">
        <f t="shared" si="2"/>
        <v>-40000</v>
      </c>
      <c r="G24" s="42">
        <f t="shared" si="2"/>
        <v>-40000</v>
      </c>
      <c r="H24" s="42">
        <f t="shared" si="2"/>
        <v>-40000</v>
      </c>
      <c r="I24" s="42">
        <f t="shared" si="2"/>
        <v>-40000</v>
      </c>
      <c r="J24" s="42">
        <f t="shared" si="2"/>
        <v>-40000</v>
      </c>
    </row>
    <row r="25" spans="1:10" ht="16.5" x14ac:dyDescent="0.3">
      <c r="A25" s="4" t="s">
        <v>16</v>
      </c>
      <c r="B25" s="9" t="s">
        <v>7</v>
      </c>
      <c r="C25" s="14" t="s">
        <v>7</v>
      </c>
      <c r="D25" s="9" t="s">
        <v>7</v>
      </c>
      <c r="E25" s="9" t="s">
        <v>7</v>
      </c>
      <c r="F25" s="9" t="s">
        <v>7</v>
      </c>
      <c r="G25" s="9" t="s">
        <v>7</v>
      </c>
      <c r="H25" s="9" t="s">
        <v>7</v>
      </c>
      <c r="I25" s="9" t="s">
        <v>7</v>
      </c>
      <c r="J25" s="36">
        <f>B62</f>
        <v>6785046.5037220586</v>
      </c>
    </row>
    <row r="26" spans="1:10" ht="16.5" x14ac:dyDescent="0.3">
      <c r="B26" s="4"/>
      <c r="C26" s="4"/>
      <c r="D26" s="4"/>
      <c r="E26" s="4"/>
      <c r="F26" s="4"/>
      <c r="G26" s="4"/>
      <c r="H26" s="4"/>
      <c r="I26" s="4"/>
      <c r="J26" s="4"/>
    </row>
    <row r="27" spans="1:10" ht="16.5" x14ac:dyDescent="0.3">
      <c r="A27" s="3" t="s">
        <v>17</v>
      </c>
      <c r="B27" s="8">
        <v>2016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</row>
    <row r="28" spans="1:10" ht="16.5" x14ac:dyDescent="0.3">
      <c r="A28" s="4" t="s">
        <v>18</v>
      </c>
      <c r="B28" s="15" t="s">
        <v>7</v>
      </c>
      <c r="C28" s="46">
        <v>500</v>
      </c>
      <c r="D28" s="46">
        <f>$C$13-(C12*C13)</f>
        <v>150</v>
      </c>
      <c r="E28" s="46">
        <f>D28-(150*D12)</f>
        <v>105</v>
      </c>
      <c r="F28" s="46">
        <f>E28-(E28*E12)</f>
        <v>78.75</v>
      </c>
      <c r="G28" s="46">
        <f t="shared" ref="G28:J28" si="3">F28-(F28*F12)</f>
        <v>59.0625</v>
      </c>
      <c r="H28" s="46">
        <f t="shared" si="3"/>
        <v>47.25</v>
      </c>
      <c r="I28" s="46">
        <f t="shared" si="3"/>
        <v>37.799999999999997</v>
      </c>
      <c r="J28" s="46">
        <f t="shared" si="3"/>
        <v>30.24</v>
      </c>
    </row>
    <row r="29" spans="1:10" ht="16.5" x14ac:dyDescent="0.3">
      <c r="A29" s="4" t="s">
        <v>19</v>
      </c>
      <c r="B29" s="15" t="s">
        <v>7</v>
      </c>
      <c r="C29" s="46">
        <f>C28-((C12/2)*C28)</f>
        <v>325</v>
      </c>
      <c r="D29" s="46">
        <f t="shared" ref="D29:J29" si="4">D28-((D12/2)*D28)</f>
        <v>127.5</v>
      </c>
      <c r="E29" s="46">
        <f t="shared" si="4"/>
        <v>91.875</v>
      </c>
      <c r="F29" s="46">
        <f t="shared" si="4"/>
        <v>68.90625</v>
      </c>
      <c r="G29" s="46">
        <f t="shared" si="4"/>
        <v>53.15625</v>
      </c>
      <c r="H29" s="46">
        <f t="shared" si="4"/>
        <v>42.524999999999999</v>
      </c>
      <c r="I29" s="46">
        <f t="shared" si="4"/>
        <v>34.019999999999996</v>
      </c>
      <c r="J29" s="46">
        <f t="shared" si="4"/>
        <v>27.971999999999998</v>
      </c>
    </row>
    <row r="30" spans="1:10" ht="16.5" x14ac:dyDescent="0.3">
      <c r="A30" s="4" t="s">
        <v>20</v>
      </c>
      <c r="B30" s="15" t="s">
        <v>7</v>
      </c>
      <c r="C30" s="46">
        <f>C29*365</f>
        <v>118625</v>
      </c>
      <c r="D30" s="46">
        <f t="shared" ref="D30:J30" si="5">D29*365</f>
        <v>46537.5</v>
      </c>
      <c r="E30" s="46">
        <f t="shared" si="5"/>
        <v>33534.375</v>
      </c>
      <c r="F30" s="46">
        <f t="shared" si="5"/>
        <v>25150.78125</v>
      </c>
      <c r="G30" s="46">
        <f t="shared" si="5"/>
        <v>19402.03125</v>
      </c>
      <c r="H30" s="46">
        <f t="shared" si="5"/>
        <v>15521.625</v>
      </c>
      <c r="I30" s="46">
        <f t="shared" si="5"/>
        <v>12417.3</v>
      </c>
      <c r="J30" s="46">
        <f t="shared" si="5"/>
        <v>10209.779999999999</v>
      </c>
    </row>
    <row r="31" spans="1:10" ht="16.5" x14ac:dyDescent="0.3">
      <c r="B31" s="4"/>
      <c r="C31" s="4"/>
      <c r="D31" s="4"/>
      <c r="E31" s="4"/>
      <c r="F31" s="4"/>
      <c r="G31" s="4"/>
      <c r="H31" s="4"/>
      <c r="I31" s="4"/>
      <c r="J31" s="4"/>
    </row>
    <row r="32" spans="1:10" ht="16.5" x14ac:dyDescent="0.3">
      <c r="A32" s="3" t="s">
        <v>21</v>
      </c>
      <c r="B32" s="8">
        <v>2016</v>
      </c>
      <c r="C32" s="8">
        <v>2017</v>
      </c>
      <c r="D32" s="8">
        <v>2018</v>
      </c>
      <c r="E32" s="8">
        <v>2019</v>
      </c>
      <c r="F32" s="8">
        <v>2020</v>
      </c>
      <c r="G32" s="8">
        <v>2021</v>
      </c>
      <c r="H32" s="8">
        <v>2022</v>
      </c>
      <c r="I32" s="8">
        <v>2023</v>
      </c>
      <c r="J32" s="8">
        <v>2024</v>
      </c>
    </row>
    <row r="33" spans="1:10" ht="16.5" x14ac:dyDescent="0.3">
      <c r="A33" s="4" t="s">
        <v>22</v>
      </c>
      <c r="B33" s="15" t="s">
        <v>7</v>
      </c>
      <c r="C33" s="34">
        <f>B52</f>
        <v>1000000</v>
      </c>
      <c r="D33" s="34">
        <f>C52</f>
        <v>3076446</v>
      </c>
      <c r="E33" s="34">
        <f>D52</f>
        <v>3506990.2</v>
      </c>
      <c r="F33" s="34">
        <f t="shared" ref="F33:J33" si="6">E52</f>
        <v>3640647.0500000003</v>
      </c>
      <c r="G33" s="34">
        <f t="shared" si="6"/>
        <v>3578450.3468750003</v>
      </c>
      <c r="H33" s="34">
        <f t="shared" si="6"/>
        <v>3352184.3187500006</v>
      </c>
      <c r="I33" s="34">
        <f t="shared" si="6"/>
        <v>3015171.4962500008</v>
      </c>
      <c r="J33" s="34">
        <f t="shared" si="6"/>
        <v>2589561.2382500009</v>
      </c>
    </row>
    <row r="34" spans="1:10" ht="16.5" x14ac:dyDescent="0.3">
      <c r="B34" s="4"/>
      <c r="C34" s="34"/>
      <c r="D34" s="34"/>
      <c r="E34" s="34"/>
      <c r="F34" s="34"/>
      <c r="G34" s="34"/>
      <c r="H34" s="34"/>
      <c r="I34" s="34"/>
      <c r="J34" s="34"/>
    </row>
    <row r="35" spans="1:10" ht="16.5" x14ac:dyDescent="0.3">
      <c r="A35" s="4" t="s">
        <v>23</v>
      </c>
      <c r="B35" s="9" t="s">
        <v>7</v>
      </c>
      <c r="C35" s="34">
        <f t="shared" ref="C35:J35" si="7">$B$17*C30</f>
        <v>5931250</v>
      </c>
      <c r="D35" s="34">
        <f t="shared" si="7"/>
        <v>2326875</v>
      </c>
      <c r="E35" s="34">
        <f t="shared" si="7"/>
        <v>1676718.75</v>
      </c>
      <c r="F35" s="34">
        <f t="shared" si="7"/>
        <v>1257539.0625</v>
      </c>
      <c r="G35" s="34">
        <f t="shared" si="7"/>
        <v>970101.5625</v>
      </c>
      <c r="H35" s="34">
        <f t="shared" si="7"/>
        <v>776081.25</v>
      </c>
      <c r="I35" s="34">
        <f t="shared" si="7"/>
        <v>620865</v>
      </c>
      <c r="J35" s="34">
        <f t="shared" si="7"/>
        <v>510488.99999999994</v>
      </c>
    </row>
    <row r="36" spans="1:10" ht="16.5" x14ac:dyDescent="0.3">
      <c r="A36" s="33" t="s">
        <v>24</v>
      </c>
      <c r="B36" s="9" t="s">
        <v>7</v>
      </c>
      <c r="C36" s="34"/>
      <c r="D36" s="34"/>
      <c r="E36" s="34"/>
      <c r="F36" s="34"/>
      <c r="G36" s="34"/>
      <c r="H36" s="34"/>
      <c r="I36" s="34"/>
      <c r="J36" s="34"/>
    </row>
    <row r="37" spans="1:10" ht="16.5" x14ac:dyDescent="0.3">
      <c r="A37" s="5" t="s">
        <v>25</v>
      </c>
      <c r="B37" s="9" t="s">
        <v>7</v>
      </c>
      <c r="C37" s="34">
        <f>12*C30</f>
        <v>1423500</v>
      </c>
      <c r="D37" s="34">
        <f t="shared" ref="D37:J37" si="8">12*D30</f>
        <v>558450</v>
      </c>
      <c r="E37" s="34">
        <f t="shared" si="8"/>
        <v>402412.5</v>
      </c>
      <c r="F37" s="34">
        <f t="shared" si="8"/>
        <v>301809.375</v>
      </c>
      <c r="G37" s="34">
        <f t="shared" si="8"/>
        <v>232824.375</v>
      </c>
      <c r="H37" s="34">
        <f t="shared" si="8"/>
        <v>186259.5</v>
      </c>
      <c r="I37" s="34">
        <f t="shared" si="8"/>
        <v>149007.59999999998</v>
      </c>
      <c r="J37" s="34">
        <f t="shared" si="8"/>
        <v>122517.35999999999</v>
      </c>
    </row>
    <row r="38" spans="1:10" ht="16.5" x14ac:dyDescent="0.3">
      <c r="A38" s="5" t="s">
        <v>26</v>
      </c>
      <c r="B38" s="9" t="s">
        <v>7</v>
      </c>
      <c r="C38" s="34">
        <f>3*C30</f>
        <v>355875</v>
      </c>
      <c r="D38" s="34">
        <f t="shared" ref="D38:J38" si="9">3*D30</f>
        <v>139612.5</v>
      </c>
      <c r="E38" s="34">
        <f t="shared" si="9"/>
        <v>100603.125</v>
      </c>
      <c r="F38" s="34">
        <f t="shared" si="9"/>
        <v>75452.34375</v>
      </c>
      <c r="G38" s="34">
        <f t="shared" si="9"/>
        <v>58206.09375</v>
      </c>
      <c r="H38" s="34">
        <f t="shared" si="9"/>
        <v>46564.875</v>
      </c>
      <c r="I38" s="34">
        <f t="shared" si="9"/>
        <v>37251.899999999994</v>
      </c>
      <c r="J38" s="34">
        <f t="shared" si="9"/>
        <v>30629.339999999997</v>
      </c>
    </row>
    <row r="39" spans="1:10" ht="16.5" x14ac:dyDescent="0.3">
      <c r="A39" s="5" t="s">
        <v>27</v>
      </c>
      <c r="B39" s="9" t="s">
        <v>7</v>
      </c>
      <c r="C39" s="34">
        <v>200000</v>
      </c>
      <c r="D39" s="34">
        <v>200000</v>
      </c>
      <c r="E39" s="34">
        <v>200000</v>
      </c>
      <c r="F39" s="34">
        <v>200000</v>
      </c>
      <c r="G39" s="34">
        <v>200000</v>
      </c>
      <c r="H39" s="34">
        <v>200000</v>
      </c>
      <c r="I39" s="34">
        <v>200000</v>
      </c>
      <c r="J39" s="34">
        <v>200000</v>
      </c>
    </row>
    <row r="40" spans="1:10" ht="16.5" x14ac:dyDescent="0.3">
      <c r="A40" s="5" t="s">
        <v>28</v>
      </c>
      <c r="B40" s="9" t="s">
        <v>7</v>
      </c>
      <c r="C40" s="34">
        <f>IF(C35&gt;0, (C35 - C37)*0.12,0)</f>
        <v>540930</v>
      </c>
      <c r="D40" s="34">
        <f t="shared" ref="D40:J40" si="10">IF(D35&gt;0, (D35 - D37)*0.12,0)</f>
        <v>212211</v>
      </c>
      <c r="E40" s="34">
        <f t="shared" si="10"/>
        <v>152916.75</v>
      </c>
      <c r="F40" s="34">
        <f t="shared" si="10"/>
        <v>114687.5625</v>
      </c>
      <c r="G40" s="34">
        <f t="shared" si="10"/>
        <v>88473.262499999997</v>
      </c>
      <c r="H40" s="34">
        <f t="shared" si="10"/>
        <v>70778.61</v>
      </c>
      <c r="I40" s="34">
        <f t="shared" si="10"/>
        <v>56622.887999999999</v>
      </c>
      <c r="J40" s="34">
        <f t="shared" si="10"/>
        <v>46556.596799999992</v>
      </c>
    </row>
    <row r="41" spans="1:10" ht="16.5" x14ac:dyDescent="0.3">
      <c r="A41" s="5" t="s">
        <v>29</v>
      </c>
      <c r="B41" s="9" t="s">
        <v>7</v>
      </c>
      <c r="C41" s="34">
        <f>IF(C35&gt;0, (C35 - C37)*0.05,0)</f>
        <v>225387.5</v>
      </c>
      <c r="D41" s="34">
        <f t="shared" ref="D41:J41" si="11">IF(D35&gt;0, (D35 - D37)*0.05,0)</f>
        <v>88421.25</v>
      </c>
      <c r="E41" s="34">
        <f t="shared" si="11"/>
        <v>63715.3125</v>
      </c>
      <c r="F41" s="34">
        <f t="shared" si="11"/>
        <v>47786.484375</v>
      </c>
      <c r="G41" s="34">
        <f t="shared" si="11"/>
        <v>36863.859375</v>
      </c>
      <c r="H41" s="34">
        <f t="shared" si="11"/>
        <v>29491.087500000001</v>
      </c>
      <c r="I41" s="34">
        <f t="shared" si="11"/>
        <v>23592.870000000003</v>
      </c>
      <c r="J41" s="34">
        <f t="shared" si="11"/>
        <v>19398.581999999999</v>
      </c>
    </row>
    <row r="42" spans="1:10" ht="16.5" x14ac:dyDescent="0.3">
      <c r="A42" s="5" t="s">
        <v>6</v>
      </c>
      <c r="B42" s="9" t="s">
        <v>7</v>
      </c>
      <c r="C42" s="34">
        <f>C14</f>
        <v>500000</v>
      </c>
      <c r="D42" s="34">
        <f t="shared" ref="D42:J42" si="12">D14</f>
        <v>500000</v>
      </c>
      <c r="E42" s="34">
        <f t="shared" si="12"/>
        <v>500000</v>
      </c>
      <c r="F42" s="34">
        <f t="shared" si="12"/>
        <v>500000</v>
      </c>
      <c r="G42" s="34">
        <f t="shared" si="12"/>
        <v>500000</v>
      </c>
      <c r="H42" s="34">
        <f t="shared" si="12"/>
        <v>500000</v>
      </c>
      <c r="I42" s="34">
        <f t="shared" si="12"/>
        <v>500000</v>
      </c>
      <c r="J42" s="34">
        <f t="shared" si="12"/>
        <v>500000</v>
      </c>
    </row>
    <row r="43" spans="1:10" ht="16.5" x14ac:dyDescent="0.3">
      <c r="A43" s="5" t="s">
        <v>30</v>
      </c>
      <c r="B43" s="9" t="s">
        <v>7</v>
      </c>
      <c r="C43" s="34">
        <f>C11*C18</f>
        <v>40000</v>
      </c>
      <c r="D43" s="34">
        <f t="shared" ref="D43:J43" si="13">D11*D18</f>
        <v>40000</v>
      </c>
      <c r="E43" s="34">
        <f t="shared" si="13"/>
        <v>40000</v>
      </c>
      <c r="F43" s="34">
        <f t="shared" si="13"/>
        <v>40000</v>
      </c>
      <c r="G43" s="34">
        <f t="shared" si="13"/>
        <v>40000</v>
      </c>
      <c r="H43" s="34">
        <f t="shared" si="13"/>
        <v>40000</v>
      </c>
      <c r="I43" s="34">
        <f t="shared" si="13"/>
        <v>40000</v>
      </c>
      <c r="J43" s="34">
        <f t="shared" si="13"/>
        <v>40000</v>
      </c>
    </row>
    <row r="44" spans="1:10" ht="16.5" x14ac:dyDescent="0.3">
      <c r="A44" s="4" t="s">
        <v>31</v>
      </c>
      <c r="B44" s="9" t="s">
        <v>7</v>
      </c>
      <c r="C44" s="35">
        <f>SUM(C37,C38,C39,C40,C41,C42,C43)</f>
        <v>3285692.5</v>
      </c>
      <c r="D44" s="35">
        <f t="shared" ref="D44:J44" si="14">SUM(D37,D38,D39,D40,D41,D42,D43)</f>
        <v>1738694.75</v>
      </c>
      <c r="E44" s="35">
        <f>SUM(E37,E38,E39,E40,E41,E42,E43)</f>
        <v>1459647.6875</v>
      </c>
      <c r="F44" s="35">
        <f t="shared" si="14"/>
        <v>1279735.765625</v>
      </c>
      <c r="G44" s="35">
        <f t="shared" si="14"/>
        <v>1156367.590625</v>
      </c>
      <c r="H44" s="35">
        <f t="shared" si="14"/>
        <v>1073094.0725</v>
      </c>
      <c r="I44" s="35">
        <f t="shared" si="14"/>
        <v>1006475.2579999999</v>
      </c>
      <c r="J44" s="35">
        <f t="shared" si="14"/>
        <v>959101.87879999995</v>
      </c>
    </row>
    <row r="45" spans="1:10" ht="16.5" x14ac:dyDescent="0.3">
      <c r="A45" s="4" t="s">
        <v>32</v>
      </c>
      <c r="B45" s="9" t="s">
        <v>7</v>
      </c>
      <c r="C45" s="34">
        <f>C35-C44</f>
        <v>2645557.5</v>
      </c>
      <c r="D45" s="34">
        <f t="shared" ref="D45:J45" si="15">D35-D44</f>
        <v>588180.25</v>
      </c>
      <c r="E45" s="34">
        <f>E35-E44</f>
        <v>217071.0625</v>
      </c>
      <c r="F45" s="34">
        <f t="shared" si="15"/>
        <v>-22196.703125</v>
      </c>
      <c r="G45" s="36">
        <f t="shared" si="15"/>
        <v>-186266.02812499995</v>
      </c>
      <c r="H45" s="36">
        <f t="shared" si="15"/>
        <v>-297012.82250000001</v>
      </c>
      <c r="I45" s="36">
        <f t="shared" si="15"/>
        <v>-385610.25799999991</v>
      </c>
      <c r="J45" s="36">
        <f t="shared" si="15"/>
        <v>-448612.87880000001</v>
      </c>
    </row>
    <row r="46" spans="1:10" ht="16.5" x14ac:dyDescent="0.3">
      <c r="A46" s="4" t="s">
        <v>33</v>
      </c>
      <c r="B46" s="9" t="s">
        <v>7</v>
      </c>
      <c r="C46" s="34">
        <f>IF(C45&lt;=0, 0, C10*C45)</f>
        <v>529111.5</v>
      </c>
      <c r="D46" s="34">
        <f t="shared" ref="D46:J46" si="16">IF(D45&lt;=0, 0, D10*D45)</f>
        <v>117636.05</v>
      </c>
      <c r="E46" s="34">
        <f>IF(E45&lt;=0, 0, E10*E45)</f>
        <v>43414.212500000001</v>
      </c>
      <c r="F46" s="34">
        <f t="shared" si="16"/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</row>
    <row r="47" spans="1:10" ht="17.25" thickBot="1" x14ac:dyDescent="0.35">
      <c r="A47" s="4" t="s">
        <v>34</v>
      </c>
      <c r="B47" s="9" t="s">
        <v>7</v>
      </c>
      <c r="C47" s="35">
        <f>C45-C46</f>
        <v>2116446</v>
      </c>
      <c r="D47" s="35">
        <f t="shared" ref="D47:J47" si="17">D45-D46</f>
        <v>470544.2</v>
      </c>
      <c r="E47" s="35">
        <f>E45-E46</f>
        <v>173656.85</v>
      </c>
      <c r="F47" s="35">
        <f t="shared" si="17"/>
        <v>-22196.703125</v>
      </c>
      <c r="G47" s="37">
        <f t="shared" si="17"/>
        <v>-186266.02812499995</v>
      </c>
      <c r="H47" s="37">
        <f t="shared" si="17"/>
        <v>-297012.82250000001</v>
      </c>
      <c r="I47" s="37">
        <f t="shared" si="17"/>
        <v>-385610.25799999991</v>
      </c>
      <c r="J47" s="37">
        <f t="shared" si="17"/>
        <v>-448612.87880000001</v>
      </c>
    </row>
    <row r="48" spans="1:10" ht="16.5" x14ac:dyDescent="0.3">
      <c r="B48" s="9"/>
      <c r="C48" s="12"/>
      <c r="D48" s="12"/>
      <c r="E48" s="12"/>
      <c r="F48" s="12"/>
      <c r="G48" s="12"/>
      <c r="H48" s="12"/>
      <c r="I48" s="12"/>
      <c r="J48" s="12"/>
    </row>
    <row r="49" spans="1:10" ht="33" x14ac:dyDescent="0.3">
      <c r="A49" s="6" t="s">
        <v>35</v>
      </c>
      <c r="B49" s="9" t="s">
        <v>7</v>
      </c>
      <c r="C49" s="34">
        <f>C33+C47</f>
        <v>3116446</v>
      </c>
      <c r="D49" s="34">
        <f t="shared" ref="D49:J49" si="18">D33+D47</f>
        <v>3546990.2</v>
      </c>
      <c r="E49" s="34">
        <f t="shared" si="18"/>
        <v>3680647.0500000003</v>
      </c>
      <c r="F49" s="34">
        <f t="shared" si="18"/>
        <v>3618450.3468750003</v>
      </c>
      <c r="G49" s="34">
        <f t="shared" si="18"/>
        <v>3392184.3187500006</v>
      </c>
      <c r="H49" s="34">
        <f t="shared" si="18"/>
        <v>3055171.4962500008</v>
      </c>
      <c r="I49" s="34">
        <f t="shared" si="18"/>
        <v>2629561.2382500009</v>
      </c>
      <c r="J49" s="34">
        <f t="shared" si="18"/>
        <v>2140948.3594500008</v>
      </c>
    </row>
    <row r="50" spans="1:10" ht="16.5" x14ac:dyDescent="0.3">
      <c r="A50" s="4" t="s">
        <v>36</v>
      </c>
      <c r="B50" s="9" t="s">
        <v>7</v>
      </c>
      <c r="C50" s="34">
        <f>IF(C49&lt;D11,D11-C49,0)</f>
        <v>0</v>
      </c>
      <c r="D50" s="34">
        <f t="shared" ref="D50:I50" si="19">IF(D49&lt;E11,E11-D49,0)</f>
        <v>0</v>
      </c>
      <c r="E50" s="34">
        <f t="shared" si="19"/>
        <v>0</v>
      </c>
      <c r="F50" s="34">
        <f t="shared" si="19"/>
        <v>0</v>
      </c>
      <c r="G50" s="34">
        <f t="shared" si="19"/>
        <v>0</v>
      </c>
      <c r="H50" s="34">
        <f t="shared" si="19"/>
        <v>0</v>
      </c>
      <c r="I50" s="34">
        <f t="shared" si="19"/>
        <v>0</v>
      </c>
      <c r="J50" s="34">
        <f>IF(J49&lt;K5,K5-J49,0)</f>
        <v>0</v>
      </c>
    </row>
    <row r="51" spans="1:10" ht="16.5" x14ac:dyDescent="0.3">
      <c r="A51" s="4" t="s">
        <v>37</v>
      </c>
      <c r="B51" s="9" t="s">
        <v>7</v>
      </c>
      <c r="C51" s="38">
        <f>IF(AND(C49&gt;C11,C43&gt;0),C43,0)</f>
        <v>40000</v>
      </c>
      <c r="D51" s="38">
        <f t="shared" ref="D51:J51" si="20">IF(AND(D49&gt;D11,D43&gt;0),D43,0)</f>
        <v>40000</v>
      </c>
      <c r="E51" s="38">
        <f t="shared" si="20"/>
        <v>40000</v>
      </c>
      <c r="F51" s="38">
        <f t="shared" si="20"/>
        <v>40000</v>
      </c>
      <c r="G51" s="38">
        <f t="shared" si="20"/>
        <v>40000</v>
      </c>
      <c r="H51" s="38">
        <f t="shared" si="20"/>
        <v>40000</v>
      </c>
      <c r="I51" s="38">
        <f t="shared" si="20"/>
        <v>40000</v>
      </c>
      <c r="J51" s="38">
        <f t="shared" si="20"/>
        <v>40000</v>
      </c>
    </row>
    <row r="52" spans="1:10" ht="17.25" thickBot="1" x14ac:dyDescent="0.35">
      <c r="A52" s="4" t="s">
        <v>38</v>
      </c>
      <c r="B52" s="40">
        <v>1000000</v>
      </c>
      <c r="C52" s="39">
        <f>C49+(C50-C51)</f>
        <v>3076446</v>
      </c>
      <c r="D52" s="39">
        <f t="shared" ref="D52:J52" si="21">D49+(D50-D51)</f>
        <v>3506990.2</v>
      </c>
      <c r="E52" s="39">
        <f t="shared" si="21"/>
        <v>3640647.0500000003</v>
      </c>
      <c r="F52" s="39">
        <f t="shared" si="21"/>
        <v>3578450.3468750003</v>
      </c>
      <c r="G52" s="39">
        <f t="shared" si="21"/>
        <v>3352184.3187500006</v>
      </c>
      <c r="H52" s="39">
        <f t="shared" si="21"/>
        <v>3015171.4962500008</v>
      </c>
      <c r="I52" s="39">
        <f t="shared" si="21"/>
        <v>2589561.2382500009</v>
      </c>
      <c r="J52" s="39">
        <f t="shared" si="21"/>
        <v>2100948.3594500008</v>
      </c>
    </row>
    <row r="53" spans="1:10" ht="16.5" x14ac:dyDescent="0.3">
      <c r="B53" s="4"/>
      <c r="C53" s="4"/>
      <c r="D53" s="4"/>
      <c r="E53" s="4"/>
      <c r="F53" s="4"/>
      <c r="G53" s="4"/>
      <c r="H53" s="4"/>
      <c r="I53" s="4"/>
      <c r="J53" s="4"/>
    </row>
    <row r="54" spans="1:10" ht="16.5" x14ac:dyDescent="0.3">
      <c r="A54" s="3" t="s">
        <v>39</v>
      </c>
      <c r="B54" s="8">
        <v>2016</v>
      </c>
      <c r="C54" s="8">
        <v>2017</v>
      </c>
      <c r="D54" s="8">
        <v>2018</v>
      </c>
      <c r="E54" s="8">
        <v>2019</v>
      </c>
      <c r="F54" s="8">
        <v>2020</v>
      </c>
      <c r="G54" s="8">
        <v>2021</v>
      </c>
      <c r="H54" s="8">
        <v>2022</v>
      </c>
      <c r="I54" s="8">
        <v>2023</v>
      </c>
      <c r="J54" s="8">
        <v>2024</v>
      </c>
    </row>
    <row r="55" spans="1:10" ht="16.5" x14ac:dyDescent="0.3">
      <c r="A55" s="4" t="s">
        <v>40</v>
      </c>
      <c r="B55" s="9" t="s">
        <v>7</v>
      </c>
      <c r="C55" s="34">
        <f>B58</f>
        <v>1000000</v>
      </c>
      <c r="D55" s="34">
        <f t="shared" ref="D55:J55" si="22">C58</f>
        <v>-40000</v>
      </c>
      <c r="E55" s="34">
        <f t="shared" si="22"/>
        <v>-40000</v>
      </c>
      <c r="F55" s="34">
        <f t="shared" si="22"/>
        <v>-40000</v>
      </c>
      <c r="G55" s="34">
        <f t="shared" si="22"/>
        <v>-40000</v>
      </c>
      <c r="H55" s="34">
        <f t="shared" si="22"/>
        <v>-40000</v>
      </c>
      <c r="I55" s="34">
        <f t="shared" si="22"/>
        <v>-40000</v>
      </c>
      <c r="J55" s="34">
        <f t="shared" si="22"/>
        <v>-40000</v>
      </c>
    </row>
    <row r="56" spans="1:10" ht="16.5" x14ac:dyDescent="0.3">
      <c r="A56" s="4" t="s">
        <v>36</v>
      </c>
      <c r="B56" s="9" t="s">
        <v>7</v>
      </c>
      <c r="C56" s="34">
        <f>C50</f>
        <v>0</v>
      </c>
      <c r="D56" s="34">
        <f t="shared" ref="D56:J56" si="23">D50</f>
        <v>0</v>
      </c>
      <c r="E56" s="34">
        <f t="shared" si="23"/>
        <v>0</v>
      </c>
      <c r="F56" s="34">
        <f t="shared" si="23"/>
        <v>0</v>
      </c>
      <c r="G56" s="34">
        <f t="shared" si="23"/>
        <v>0</v>
      </c>
      <c r="H56" s="34">
        <f t="shared" si="23"/>
        <v>0</v>
      </c>
      <c r="I56" s="34">
        <f t="shared" si="23"/>
        <v>0</v>
      </c>
      <c r="J56" s="34">
        <f t="shared" si="23"/>
        <v>0</v>
      </c>
    </row>
    <row r="57" spans="1:10" ht="16.5" x14ac:dyDescent="0.3">
      <c r="A57" s="4" t="s">
        <v>37</v>
      </c>
      <c r="B57" s="9" t="s">
        <v>7</v>
      </c>
      <c r="C57" s="38">
        <f>C51</f>
        <v>40000</v>
      </c>
      <c r="D57" s="38">
        <f t="shared" ref="D57:J57" si="24">D51</f>
        <v>40000</v>
      </c>
      <c r="E57" s="38">
        <f t="shared" si="24"/>
        <v>40000</v>
      </c>
      <c r="F57" s="38">
        <f t="shared" si="24"/>
        <v>40000</v>
      </c>
      <c r="G57" s="38">
        <f t="shared" si="24"/>
        <v>40000</v>
      </c>
      <c r="H57" s="38">
        <f t="shared" si="24"/>
        <v>40000</v>
      </c>
      <c r="I57" s="38">
        <f t="shared" si="24"/>
        <v>40000</v>
      </c>
      <c r="J57" s="38">
        <f t="shared" si="24"/>
        <v>40000</v>
      </c>
    </row>
    <row r="58" spans="1:10" ht="17.25" thickBot="1" x14ac:dyDescent="0.35">
      <c r="A58" s="4" t="s">
        <v>41</v>
      </c>
      <c r="B58" s="16">
        <v>1000000</v>
      </c>
      <c r="C58" s="41">
        <f>C56-C57</f>
        <v>-40000</v>
      </c>
      <c r="D58" s="41">
        <f t="shared" ref="D58:J58" si="25">D56-D57</f>
        <v>-40000</v>
      </c>
      <c r="E58" s="41">
        <f t="shared" si="25"/>
        <v>-40000</v>
      </c>
      <c r="F58" s="41">
        <f t="shared" si="25"/>
        <v>-40000</v>
      </c>
      <c r="G58" s="41">
        <f t="shared" si="25"/>
        <v>-40000</v>
      </c>
      <c r="H58" s="41">
        <f t="shared" si="25"/>
        <v>-40000</v>
      </c>
      <c r="I58" s="41">
        <f t="shared" si="25"/>
        <v>-40000</v>
      </c>
      <c r="J58" s="41">
        <f t="shared" si="25"/>
        <v>-40000</v>
      </c>
    </row>
    <row r="59" spans="1:10" ht="17.25" thickTop="1" x14ac:dyDescent="0.3">
      <c r="B59" s="4"/>
      <c r="C59" s="4"/>
      <c r="D59" s="4"/>
      <c r="E59" s="4"/>
      <c r="F59" s="4"/>
      <c r="G59" s="4"/>
      <c r="H59" s="4"/>
      <c r="I59" s="4"/>
      <c r="J59" s="4"/>
    </row>
    <row r="60" spans="1:10" ht="16.5" x14ac:dyDescent="0.3">
      <c r="A60" s="4" t="s">
        <v>42</v>
      </c>
      <c r="B60" s="36">
        <f>B19*(-1)</f>
        <v>-5000000</v>
      </c>
      <c r="C60" s="34">
        <f>C47</f>
        <v>2116446</v>
      </c>
      <c r="D60" s="34">
        <f t="shared" ref="D60:J60" si="26">D47</f>
        <v>470544.2</v>
      </c>
      <c r="E60" s="34">
        <f t="shared" si="26"/>
        <v>173656.85</v>
      </c>
      <c r="F60" s="34">
        <f t="shared" si="26"/>
        <v>-22196.703125</v>
      </c>
      <c r="G60" s="36">
        <f t="shared" si="26"/>
        <v>-186266.02812499995</v>
      </c>
      <c r="H60" s="36">
        <f t="shared" si="26"/>
        <v>-297012.82250000001</v>
      </c>
      <c r="I60" s="36">
        <f t="shared" si="26"/>
        <v>-385610.25799999991</v>
      </c>
      <c r="J60" s="36">
        <f t="shared" si="26"/>
        <v>-448612.87880000001</v>
      </c>
    </row>
    <row r="61" spans="1:10" ht="16.5" x14ac:dyDescent="0.3">
      <c r="B61" s="4"/>
      <c r="C61" s="4"/>
      <c r="D61" s="4"/>
      <c r="E61" s="4"/>
      <c r="F61" s="4"/>
      <c r="G61" s="4"/>
      <c r="H61" s="4"/>
      <c r="I61" s="4"/>
      <c r="J61" s="4"/>
    </row>
    <row r="62" spans="1:10" ht="16.5" x14ac:dyDescent="0.3">
      <c r="A62" s="4" t="s">
        <v>43</v>
      </c>
      <c r="B62" s="36">
        <f>NPV(0.15,C60,D60,E60,F60,G60,H60,I60,J60)-B60</f>
        <v>6785046.5037220586</v>
      </c>
      <c r="C62" s="17" t="s">
        <v>7</v>
      </c>
      <c r="D62" s="17" t="s">
        <v>7</v>
      </c>
      <c r="E62" s="17" t="s">
        <v>7</v>
      </c>
      <c r="F62" s="17" t="s">
        <v>7</v>
      </c>
      <c r="G62" s="17" t="s">
        <v>7</v>
      </c>
      <c r="H62" s="17" t="s">
        <v>7</v>
      </c>
      <c r="I62" s="17" t="s">
        <v>7</v>
      </c>
      <c r="J62" s="17" t="s">
        <v>7</v>
      </c>
    </row>
    <row r="64" spans="1:10" x14ac:dyDescent="0.25">
      <c r="B64" s="25"/>
    </row>
    <row r="67" spans="1:10" ht="16.5" x14ac:dyDescent="0.3">
      <c r="A67" s="4" t="s">
        <v>50</v>
      </c>
      <c r="J67" s="4" t="s">
        <v>50</v>
      </c>
    </row>
  </sheetData>
  <scenarios current="7" sqref="B62">
    <scenario name="His 50 - $10 million investment, $50 per barrel" count="2" user="Jessica Hoffman" comment="Created by Jessica Hoffman on 11/22/2016_x000a_Modified by Jessica Hoffman on 11/22/2016">
      <inputCells r="B19" val="10000000" numFmtId="164"/>
      <inputCells r="B17" val="50" numFmtId="164"/>
    </scenario>
    <scenario name="His 70 - $10 million investment, $70 per barrel" locked="1" count="2" user="Jessica Hoffman" comment="Created by Jessica Hoffman on 11/22/2016">
      <inputCells r="B19" val="10000000" numFmtId="164"/>
      <inputCells r="B17" val="70" numFmtId="164"/>
    </scenario>
    <scenario name="His 90 - $10 million investment, $90 per barrel" locked="1" count="2" user="Jessica Hoffman" comment="Created by Jessica Hoffman on 11/22/2016">
      <inputCells r="B19" val="10000000" numFmtId="164"/>
      <inputCells r="B17" val="90" numFmtId="164"/>
    </scenario>
    <scenario name="His 110 - $10 million investment, $110 per barrel" locked="1" count="2" user="Jessica Hoffman" comment="Created by Jessica Hoffman on 11/22/2016">
      <inputCells r="B19" val="10000000" numFmtId="164"/>
      <inputCells r="B17" val="110" numFmtId="164"/>
    </scenario>
    <scenario name="Yours 50 - $5 million investment, $50 per barrel" locked="1" count="2" user="Jessica Hoffman" comment="Created by Jessica Hoffman on 11/22/2016">
      <inputCells r="B19" val="5000000" numFmtId="164"/>
      <inputCells r="B17" val="50" numFmtId="164"/>
    </scenario>
    <scenario name="Yours 70 - $5 million investment, $70 per barrel" locked="1" count="2" user="Jessica Hoffman" comment="Created by Jessica Hoffman on 11/22/2016">
      <inputCells r="B19" val="5000000" numFmtId="164"/>
      <inputCells r="B17" val="70" numFmtId="164"/>
    </scenario>
    <scenario name="Yours 90 - $5 million investment, $90 per barrel" locked="1" count="2" user="Jessica Hoffman" comment="Created by Jessica Hoffman on 11/22/2016">
      <inputCells r="B19" val="5000000" numFmtId="164"/>
      <inputCells r="B17" val="90" numFmtId="164"/>
    </scenario>
    <scenario name="Yours 110 - $5 million investment, $110 per barrel" locked="1" count="2" user="Jessica Hoffman" comment="Created by Jessica Hoffman on 11/22/2016">
      <inputCells r="B19" val="5000000" numFmtId="164"/>
      <inputCells r="B17" val="110" numFmtId="164"/>
    </scenario>
  </scenarios>
  <pageMargins left="0.7" right="0.7" top="0.75" bottom="0.75" header="0.3" footer="0.3"/>
  <pageSetup scale="46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Hoffman</cp:lastModifiedBy>
  <cp:lastPrinted>2016-11-19T17:34:09Z</cp:lastPrinted>
  <dcterms:created xsi:type="dcterms:W3CDTF">2016-11-10T20:09:31Z</dcterms:created>
  <dcterms:modified xsi:type="dcterms:W3CDTF">2016-11-22T17:10:20Z</dcterms:modified>
</cp:coreProperties>
</file>