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jhk01\Desktop\"/>
    </mc:Choice>
  </mc:AlternateContent>
  <xr:revisionPtr revIDLastSave="0" documentId="13_ncr:1_{DA91C9AF-5D24-4DAC-B59E-F77D3619FEB5}" xr6:coauthVersionLast="47" xr6:coauthVersionMax="47" xr10:uidLastSave="{00000000-0000-0000-0000-000000000000}"/>
  <bookViews>
    <workbookView xWindow="-108" yWindow="-108" windowWidth="30936" windowHeight="18696" xr2:uid="{00000000-000D-0000-FFFF-FFFF00000000}"/>
  </bookViews>
  <sheets>
    <sheet name="SMC_Calculation (40%-T1)" sheetId="4" r:id="rId1"/>
    <sheet name="SMC_Calculation (40%-O)" sheetId="3" r:id="rId2"/>
    <sheet name="SMC_Calculation (32.5%)" sheetId="2" r:id="rId3"/>
  </sheets>
  <definedNames>
    <definedName name="CV">#REF!</definedName>
    <definedName name="d">#REF!</definedName>
    <definedName name="_xlnm.Print_Area" localSheetId="2">'SMC_Calculation (32.5%)'!$B$2:$J$71</definedName>
    <definedName name="_xlnm.Print_Area" localSheetId="1">'SMC_Calculation (40%-O)'!$B$2:$J$71</definedName>
    <definedName name="_xlnm.Print_Area" localSheetId="0">'SMC_Calculation (40%-T1)'!$B$2:$J$71</definedName>
    <definedName name="sad">#REF!</definedName>
    <definedName name="SADA">#REF!</definedName>
    <definedName name="sdfc">#REF!</definedName>
    <definedName name="ㄱ쇼">#REF!</definedName>
    <definedName name="ㄴㄴㄴㄴㄴ">#REF!</definedName>
    <definedName name="품명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1" i="4" l="1"/>
  <c r="AB70" i="4"/>
  <c r="AD70" i="4" s="1"/>
  <c r="F70" i="4"/>
  <c r="F62" i="4"/>
  <c r="F61" i="4"/>
  <c r="I56" i="4"/>
  <c r="F56" i="4"/>
  <c r="G55" i="4"/>
  <c r="I53" i="4"/>
  <c r="I52" i="4"/>
  <c r="F52" i="4"/>
  <c r="F53" i="4" s="1"/>
  <c r="G51" i="4"/>
  <c r="I48" i="4"/>
  <c r="I47" i="4"/>
  <c r="F47" i="4"/>
  <c r="F48" i="4" s="1"/>
  <c r="G46" i="4"/>
  <c r="I43" i="4"/>
  <c r="I42" i="4"/>
  <c r="F42" i="4"/>
  <c r="F43" i="4" s="1"/>
  <c r="G41" i="4"/>
  <c r="F38" i="4"/>
  <c r="C36" i="4"/>
  <c r="C35" i="4"/>
  <c r="C34" i="4"/>
  <c r="C32" i="4"/>
  <c r="C31" i="4"/>
  <c r="C30" i="4"/>
  <c r="Q25" i="4"/>
  <c r="Q26" i="4" s="1"/>
  <c r="O22" i="4"/>
  <c r="F21" i="4"/>
  <c r="F20" i="4"/>
  <c r="F19" i="4"/>
  <c r="F18" i="4"/>
  <c r="Q17" i="4"/>
  <c r="F17" i="4"/>
  <c r="Q16" i="4"/>
  <c r="F16" i="4"/>
  <c r="Q15" i="4"/>
  <c r="Q14" i="4"/>
  <c r="Q13" i="4"/>
  <c r="Q12" i="4"/>
  <c r="Q11" i="4"/>
  <c r="Q10" i="4"/>
  <c r="Q9" i="4"/>
  <c r="Q8" i="4"/>
  <c r="Q7" i="4"/>
  <c r="Y6" i="4"/>
  <c r="Q6" i="4"/>
  <c r="Q5" i="4"/>
  <c r="T2" i="4"/>
  <c r="F71" i="3"/>
  <c r="AB70" i="3"/>
  <c r="AD70" i="3" s="1"/>
  <c r="F70" i="3"/>
  <c r="F61" i="3"/>
  <c r="I56" i="3"/>
  <c r="F56" i="3"/>
  <c r="G55" i="3"/>
  <c r="F62" i="3" s="1"/>
  <c r="I53" i="3"/>
  <c r="I52" i="3"/>
  <c r="F52" i="3"/>
  <c r="F53" i="3" s="1"/>
  <c r="G51" i="3"/>
  <c r="I48" i="3"/>
  <c r="I47" i="3"/>
  <c r="F47" i="3"/>
  <c r="F48" i="3" s="1"/>
  <c r="G46" i="3"/>
  <c r="F60" i="3" s="1"/>
  <c r="I43" i="3"/>
  <c r="I42" i="3"/>
  <c r="F42" i="3"/>
  <c r="F43" i="3" s="1"/>
  <c r="G41" i="3"/>
  <c r="F38" i="3"/>
  <c r="C36" i="3"/>
  <c r="C35" i="3"/>
  <c r="C34" i="3"/>
  <c r="C32" i="3"/>
  <c r="C31" i="3"/>
  <c r="C30" i="3"/>
  <c r="Q25" i="3"/>
  <c r="Q26" i="3" s="1"/>
  <c r="O22" i="3"/>
  <c r="F21" i="3"/>
  <c r="F20" i="3"/>
  <c r="F19" i="3"/>
  <c r="F18" i="3"/>
  <c r="Q17" i="3"/>
  <c r="F17" i="3"/>
  <c r="Q16" i="3"/>
  <c r="F16" i="3"/>
  <c r="Q15" i="3"/>
  <c r="Q14" i="3"/>
  <c r="Q13" i="3"/>
  <c r="Q12" i="3"/>
  <c r="Q11" i="3"/>
  <c r="Q10" i="3"/>
  <c r="Q9" i="3"/>
  <c r="Q8" i="3"/>
  <c r="Q7" i="3"/>
  <c r="Y6" i="3"/>
  <c r="Q6" i="3"/>
  <c r="Q5" i="3"/>
  <c r="T2" i="3"/>
  <c r="W27" i="2"/>
  <c r="V27" i="2"/>
  <c r="U27" i="2"/>
  <c r="W21" i="2"/>
  <c r="V21" i="2"/>
  <c r="U21" i="2"/>
  <c r="V22" i="2"/>
  <c r="W17" i="2"/>
  <c r="V10" i="2"/>
  <c r="U16" i="2"/>
  <c r="U6" i="2"/>
  <c r="U7" i="2"/>
  <c r="U8" i="2"/>
  <c r="U9" i="2"/>
  <c r="U11" i="2"/>
  <c r="U12" i="2"/>
  <c r="U13" i="2"/>
  <c r="U14" i="2"/>
  <c r="U15" i="2"/>
  <c r="U5" i="2"/>
  <c r="F25" i="4" l="1"/>
  <c r="F39" i="4"/>
  <c r="F40" i="4" s="1"/>
  <c r="R25" i="4"/>
  <c r="R26" i="4" s="1"/>
  <c r="O18" i="4" s="1"/>
  <c r="T22" i="4"/>
  <c r="Q22" i="4"/>
  <c r="T14" i="4"/>
  <c r="U14" i="4" s="1"/>
  <c r="T17" i="4"/>
  <c r="W17" i="4" s="1"/>
  <c r="W22" i="4" s="1"/>
  <c r="T16" i="4"/>
  <c r="U16" i="4" s="1"/>
  <c r="T15" i="4"/>
  <c r="U15" i="4" s="1"/>
  <c r="T12" i="4"/>
  <c r="U12" i="4" s="1"/>
  <c r="T11" i="4"/>
  <c r="U11" i="4" s="1"/>
  <c r="T9" i="4"/>
  <c r="U9" i="4" s="1"/>
  <c r="T7" i="4"/>
  <c r="U7" i="4" s="1"/>
  <c r="T13" i="4"/>
  <c r="U13" i="4" s="1"/>
  <c r="T5" i="4"/>
  <c r="T8" i="4"/>
  <c r="U8" i="4" s="1"/>
  <c r="T6" i="4"/>
  <c r="U6" i="4" s="1"/>
  <c r="T10" i="4"/>
  <c r="V10" i="4" s="1"/>
  <c r="V22" i="4" s="1"/>
  <c r="T15" i="3"/>
  <c r="U15" i="3" s="1"/>
  <c r="T7" i="3"/>
  <c r="U7" i="3" s="1"/>
  <c r="T17" i="3"/>
  <c r="W17" i="3" s="1"/>
  <c r="W22" i="3" s="1"/>
  <c r="T14" i="3"/>
  <c r="U14" i="3" s="1"/>
  <c r="T12" i="3"/>
  <c r="U12" i="3" s="1"/>
  <c r="T10" i="3"/>
  <c r="V10" i="3" s="1"/>
  <c r="V22" i="3" s="1"/>
  <c r="T9" i="3"/>
  <c r="U9" i="3" s="1"/>
  <c r="T5" i="3"/>
  <c r="U5" i="3" s="1"/>
  <c r="T16" i="3"/>
  <c r="U16" i="3" s="1"/>
  <c r="T13" i="3"/>
  <c r="U13" i="3" s="1"/>
  <c r="T11" i="3"/>
  <c r="T8" i="3"/>
  <c r="U8" i="3" s="1"/>
  <c r="T6" i="3"/>
  <c r="U6" i="3" s="1"/>
  <c r="F25" i="3"/>
  <c r="F67" i="3"/>
  <c r="F39" i="3"/>
  <c r="F40" i="3" s="1"/>
  <c r="T22" i="3"/>
  <c r="R25" i="3"/>
  <c r="R26" i="3" s="1"/>
  <c r="O18" i="3" s="1"/>
  <c r="Q22" i="3"/>
  <c r="U11" i="3"/>
  <c r="U22" i="2"/>
  <c r="O23" i="4" l="1"/>
  <c r="Q18" i="4"/>
  <c r="T18" i="4"/>
  <c r="T23" i="4" s="1"/>
  <c r="P18" i="4"/>
  <c r="W27" i="4"/>
  <c r="U5" i="4"/>
  <c r="U22" i="4" s="1"/>
  <c r="V27" i="4"/>
  <c r="R22" i="4"/>
  <c r="R17" i="4"/>
  <c r="R16" i="4"/>
  <c r="R15" i="4"/>
  <c r="R14" i="4"/>
  <c r="R13" i="4"/>
  <c r="R12" i="4"/>
  <c r="R11" i="4"/>
  <c r="R10" i="4"/>
  <c r="R9" i="4"/>
  <c r="R8" i="4"/>
  <c r="R7" i="4"/>
  <c r="R6" i="4"/>
  <c r="R5" i="4"/>
  <c r="U22" i="3"/>
  <c r="V27" i="3"/>
  <c r="W27" i="3"/>
  <c r="R12" i="3"/>
  <c r="R11" i="3"/>
  <c r="R10" i="3"/>
  <c r="R6" i="3"/>
  <c r="R5" i="3"/>
  <c r="T18" i="3"/>
  <c r="T23" i="3" s="1"/>
  <c r="O23" i="3"/>
  <c r="P18" i="3" s="1"/>
  <c r="Q18" i="3"/>
  <c r="R22" i="3"/>
  <c r="R17" i="3"/>
  <c r="R16" i="3"/>
  <c r="R15" i="3"/>
  <c r="R14" i="3"/>
  <c r="R13" i="3"/>
  <c r="R9" i="3"/>
  <c r="R8" i="3"/>
  <c r="R7" i="3"/>
  <c r="F71" i="2"/>
  <c r="F70" i="2"/>
  <c r="C36" i="2"/>
  <c r="C35" i="2"/>
  <c r="C34" i="2"/>
  <c r="W21" i="4" l="1"/>
  <c r="V21" i="4"/>
  <c r="P22" i="4"/>
  <c r="P23" i="4"/>
  <c r="P5" i="4"/>
  <c r="P7" i="4"/>
  <c r="P14" i="4"/>
  <c r="P15" i="4"/>
  <c r="P17" i="4"/>
  <c r="P10" i="4"/>
  <c r="P6" i="4"/>
  <c r="P8" i="4"/>
  <c r="P9" i="4"/>
  <c r="P11" i="4"/>
  <c r="P13" i="4"/>
  <c r="P12" i="4"/>
  <c r="P16" i="4"/>
  <c r="Q23" i="4"/>
  <c r="S18" i="4" s="1"/>
  <c r="U27" i="4"/>
  <c r="U21" i="4"/>
  <c r="N22" i="4"/>
  <c r="F6" i="4" s="1"/>
  <c r="F22" i="4" s="1"/>
  <c r="F26" i="4" s="1"/>
  <c r="F27" i="4" s="1"/>
  <c r="F28" i="4" s="1"/>
  <c r="F30" i="4" s="1"/>
  <c r="W21" i="3"/>
  <c r="V21" i="3"/>
  <c r="U21" i="3"/>
  <c r="U27" i="3"/>
  <c r="N22" i="3"/>
  <c r="F6" i="3" s="1"/>
  <c r="F22" i="3" s="1"/>
  <c r="F26" i="3" s="1"/>
  <c r="F27" i="3" s="1"/>
  <c r="F28" i="3" s="1"/>
  <c r="F30" i="3" s="1"/>
  <c r="P22" i="3"/>
  <c r="P12" i="3"/>
  <c r="P13" i="3"/>
  <c r="P16" i="3"/>
  <c r="P8" i="3"/>
  <c r="P23" i="3"/>
  <c r="P5" i="3"/>
  <c r="P6" i="3"/>
  <c r="P7" i="3"/>
  <c r="P9" i="3"/>
  <c r="P10" i="3"/>
  <c r="P11" i="3"/>
  <c r="P15" i="3"/>
  <c r="P14" i="3"/>
  <c r="P17" i="3"/>
  <c r="Q23" i="3"/>
  <c r="S18" i="3" s="1"/>
  <c r="F17" i="2"/>
  <c r="G41" i="2"/>
  <c r="Q25" i="2"/>
  <c r="Q26" i="2" s="1"/>
  <c r="F16" i="2"/>
  <c r="F18" i="2"/>
  <c r="F19" i="2"/>
  <c r="C32" i="2"/>
  <c r="C31" i="2"/>
  <c r="C30" i="2"/>
  <c r="F21" i="2"/>
  <c r="F20" i="2"/>
  <c r="AB70" i="2"/>
  <c r="AD70" i="2" s="1"/>
  <c r="I56" i="2"/>
  <c r="F56" i="2"/>
  <c r="G55" i="2"/>
  <c r="F62" i="2" s="1"/>
  <c r="I53" i="2"/>
  <c r="I52" i="2"/>
  <c r="F52" i="2"/>
  <c r="G51" i="2"/>
  <c r="I48" i="2"/>
  <c r="I47" i="2"/>
  <c r="F47" i="2"/>
  <c r="G46" i="2"/>
  <c r="I43" i="2"/>
  <c r="I42" i="2"/>
  <c r="F42" i="2"/>
  <c r="F38" i="2"/>
  <c r="F39" i="2" s="1"/>
  <c r="Q16" i="2"/>
  <c r="Q15" i="2"/>
  <c r="Q14" i="2"/>
  <c r="Q13" i="2"/>
  <c r="Q12" i="2"/>
  <c r="Q11" i="2"/>
  <c r="Q10" i="2"/>
  <c r="Q9" i="2"/>
  <c r="Q8" i="2"/>
  <c r="Q7" i="2"/>
  <c r="Y6" i="2"/>
  <c r="Q6" i="2"/>
  <c r="Q5" i="2"/>
  <c r="T2" i="2"/>
  <c r="T15" i="2" s="1"/>
  <c r="S6" i="4" l="1"/>
  <c r="S7" i="4"/>
  <c r="S10" i="4"/>
  <c r="S12" i="4"/>
  <c r="S13" i="4"/>
  <c r="S14" i="4"/>
  <c r="S15" i="4"/>
  <c r="S16" i="4"/>
  <c r="S17" i="4"/>
  <c r="S8" i="4"/>
  <c r="S9" i="4"/>
  <c r="S11" i="4"/>
  <c r="S5" i="4"/>
  <c r="F31" i="4"/>
  <c r="F34" i="4"/>
  <c r="F31" i="3"/>
  <c r="F59" i="3" s="1"/>
  <c r="F34" i="3"/>
  <c r="J61" i="3" s="1"/>
  <c r="S13" i="3"/>
  <c r="S14" i="3"/>
  <c r="S15" i="3"/>
  <c r="S16" i="3"/>
  <c r="S17" i="3"/>
  <c r="S5" i="3"/>
  <c r="S6" i="3"/>
  <c r="S7" i="3"/>
  <c r="S8" i="3"/>
  <c r="S9" i="3"/>
  <c r="S10" i="3"/>
  <c r="S11" i="3"/>
  <c r="S12" i="3"/>
  <c r="O22" i="2"/>
  <c r="T22" i="2" s="1"/>
  <c r="W22" i="2"/>
  <c r="F25" i="2"/>
  <c r="F48" i="2"/>
  <c r="F43" i="2"/>
  <c r="T10" i="2"/>
  <c r="F53" i="2"/>
  <c r="F61" i="2" s="1"/>
  <c r="Q17" i="2"/>
  <c r="Q22" i="2" s="1"/>
  <c r="R11" i="2" s="1"/>
  <c r="T14" i="2"/>
  <c r="T17" i="2"/>
  <c r="T8" i="2"/>
  <c r="T5" i="2"/>
  <c r="T9" i="2"/>
  <c r="T6" i="2"/>
  <c r="T16" i="2"/>
  <c r="F40" i="2"/>
  <c r="T7" i="2"/>
  <c r="T12" i="2"/>
  <c r="T13" i="2"/>
  <c r="T11" i="2"/>
  <c r="F32" i="4" l="1"/>
  <c r="F60" i="4"/>
  <c r="F67" i="4" s="1"/>
  <c r="S23" i="4"/>
  <c r="N23" i="4"/>
  <c r="F35" i="4"/>
  <c r="F36" i="4" s="1"/>
  <c r="F59" i="4"/>
  <c r="J61" i="4"/>
  <c r="F32" i="3"/>
  <c r="F35" i="3"/>
  <c r="S23" i="3"/>
  <c r="N23" i="3"/>
  <c r="F63" i="3"/>
  <c r="F66" i="3"/>
  <c r="R25" i="2"/>
  <c r="R26" i="2" s="1"/>
  <c r="O18" i="2" s="1"/>
  <c r="T18" i="2" s="1"/>
  <c r="T23" i="2" s="1"/>
  <c r="R7" i="2"/>
  <c r="R9" i="2"/>
  <c r="R6" i="2"/>
  <c r="R22" i="2"/>
  <c r="R14" i="2"/>
  <c r="R13" i="2"/>
  <c r="R8" i="2"/>
  <c r="R10" i="2"/>
  <c r="R17" i="2"/>
  <c r="R16" i="2"/>
  <c r="R5" i="2"/>
  <c r="R15" i="2"/>
  <c r="R12" i="2"/>
  <c r="F63" i="4" l="1"/>
  <c r="J59" i="4"/>
  <c r="F66" i="4"/>
  <c r="F36" i="3"/>
  <c r="J59" i="3"/>
  <c r="Q18" i="2"/>
  <c r="Q23" i="2" s="1"/>
  <c r="S8" i="2" s="1"/>
  <c r="O23" i="2"/>
  <c r="P18" i="2" s="1"/>
  <c r="N22" i="2"/>
  <c r="F6" i="2" s="1"/>
  <c r="S6" i="2" l="1"/>
  <c r="S7" i="2"/>
  <c r="P16" i="2"/>
  <c r="P6" i="2"/>
  <c r="S18" i="2"/>
  <c r="S5" i="2"/>
  <c r="P13" i="2"/>
  <c r="P23" i="2"/>
  <c r="P9" i="2"/>
  <c r="S9" i="2"/>
  <c r="S15" i="2"/>
  <c r="S11" i="2"/>
  <c r="P8" i="2"/>
  <c r="S13" i="2"/>
  <c r="S12" i="2"/>
  <c r="P22" i="2"/>
  <c r="S10" i="2"/>
  <c r="P17" i="2"/>
  <c r="P7" i="2"/>
  <c r="P14" i="2"/>
  <c r="P15" i="2"/>
  <c r="P10" i="2"/>
  <c r="P5" i="2"/>
  <c r="S17" i="2"/>
  <c r="S14" i="2"/>
  <c r="P12" i="2"/>
  <c r="P11" i="2"/>
  <c r="S16" i="2"/>
  <c r="S23" i="2" l="1"/>
  <c r="N23" i="2"/>
  <c r="F22" i="2"/>
  <c r="F26" i="2" s="1"/>
  <c r="F27" i="2" s="1"/>
  <c r="F28" i="2" s="1"/>
  <c r="F30" i="2" s="1"/>
  <c r="F34" i="2" l="1"/>
  <c r="F31" i="2" l="1"/>
  <c r="F35" i="2" s="1"/>
  <c r="F36" i="2" s="1"/>
  <c r="F32" i="2" l="1"/>
  <c r="J61" i="2" s="1"/>
  <c r="F59" i="2"/>
  <c r="J59" i="2" s="1"/>
  <c r="F60" i="2"/>
  <c r="F67" i="2" s="1"/>
  <c r="F66" i="2" l="1"/>
  <c r="F63" i="2"/>
</calcChain>
</file>

<file path=xl/sharedStrings.xml><?xml version="1.0" encoding="utf-8"?>
<sst xmlns="http://schemas.openxmlformats.org/spreadsheetml/2006/main" count="651" uniqueCount="146">
  <si>
    <t>Unit</t>
  </si>
  <si>
    <t>V_0</t>
  </si>
  <si>
    <t>Gap Height</t>
  </si>
  <si>
    <t>h</t>
  </si>
  <si>
    <t>mm</t>
  </si>
  <si>
    <t>w</t>
  </si>
  <si>
    <t>Blade Thickness</t>
  </si>
  <si>
    <t>L</t>
  </si>
  <si>
    <t>Paste Viscosity</t>
  </si>
  <si>
    <t>eta</t>
  </si>
  <si>
    <t>rho</t>
  </si>
  <si>
    <t>Paste Height</t>
  </si>
  <si>
    <t>H</t>
  </si>
  <si>
    <t>Result</t>
  </si>
  <si>
    <t>Line Speed Conversion</t>
  </si>
  <si>
    <t>Gap Height Conversion</t>
  </si>
  <si>
    <t>m</t>
  </si>
  <si>
    <t>Sheet Width Conversion</t>
  </si>
  <si>
    <t>Blade Thickness Conversion</t>
  </si>
  <si>
    <t>Viscosity Conversion</t>
  </si>
  <si>
    <t>Pa*s</t>
  </si>
  <si>
    <t>Paste Height Conversion</t>
  </si>
  <si>
    <t>Pressure Drop (Delta p)</t>
  </si>
  <si>
    <t>rho * g * H</t>
  </si>
  <si>
    <t>Pa</t>
  </si>
  <si>
    <t>Hydrostatic pressure (g=9.81)</t>
  </si>
  <si>
    <t>Final Calculation Results</t>
  </si>
  <si>
    <t>Formula Summary</t>
  </si>
  <si>
    <t>1. Drag Flow Term</t>
  </si>
  <si>
    <t>(V_0 * h) / 2</t>
  </si>
  <si>
    <t>m^2/s</t>
  </si>
  <si>
    <t>2. Pressure Flow Term</t>
  </si>
  <si>
    <t>(h^3 / (12 * eta * L)) * Delta p</t>
  </si>
  <si>
    <t>Total Volumetric Flow Rate (Q) (m^3/s)</t>
  </si>
  <si>
    <t>(1 + 2) * w</t>
  </si>
  <si>
    <t>m^3/s</t>
  </si>
  <si>
    <t>Total Volumetric Flow Rate (Q) (L/min)</t>
  </si>
  <si>
    <t>Q * 60000</t>
  </si>
  <si>
    <t>L/min</t>
  </si>
  <si>
    <t>SMC</t>
    <phoneticPr fontId="0" type="noConversion"/>
  </si>
  <si>
    <t>ITEM</t>
    <phoneticPr fontId="0" type="noConversion"/>
  </si>
  <si>
    <t>PART NAME</t>
    <phoneticPr fontId="0" type="noConversion"/>
  </si>
  <si>
    <t>Density
(g/cm3)</t>
    <phoneticPr fontId="0" type="noConversion"/>
  </si>
  <si>
    <t>Parts Wt(KG)</t>
    <phoneticPr fontId="0" type="noConversion"/>
  </si>
  <si>
    <t>WT %</t>
    <phoneticPr fontId="0" type="noConversion"/>
  </si>
  <si>
    <t>Volume(Liters)</t>
    <phoneticPr fontId="0" type="noConversion"/>
  </si>
  <si>
    <t>Vol %</t>
    <phoneticPr fontId="0" type="noConversion"/>
  </si>
  <si>
    <t>PHR</t>
    <phoneticPr fontId="0" type="noConversion"/>
  </si>
  <si>
    <t>Resin</t>
    <phoneticPr fontId="0" type="noConversion"/>
  </si>
  <si>
    <t>VUP-6737</t>
    <phoneticPr fontId="0" type="noConversion"/>
  </si>
  <si>
    <t>LPA</t>
    <phoneticPr fontId="0" type="noConversion"/>
  </si>
  <si>
    <t>JP-30 LPA</t>
    <phoneticPr fontId="0" type="noConversion"/>
  </si>
  <si>
    <t>STYRENE MONOMER</t>
    <phoneticPr fontId="0" type="noConversion"/>
  </si>
  <si>
    <t>SM</t>
    <phoneticPr fontId="0" type="noConversion"/>
  </si>
  <si>
    <t>Tbpb (T-Butyle Perbenzoate)</t>
    <phoneticPr fontId="0" type="noConversion"/>
  </si>
  <si>
    <t>TBPB</t>
    <phoneticPr fontId="0" type="noConversion"/>
  </si>
  <si>
    <t>Zinc stearate</t>
    <phoneticPr fontId="0" type="noConversion"/>
  </si>
  <si>
    <t>HI-FLOW-GP(Zn-ST)</t>
    <phoneticPr fontId="0" type="noConversion"/>
  </si>
  <si>
    <t>Color pigment</t>
    <phoneticPr fontId="0" type="noConversion"/>
  </si>
  <si>
    <t>HW-Gray</t>
    <phoneticPr fontId="0" type="noConversion"/>
  </si>
  <si>
    <t>rheology modifier</t>
    <phoneticPr fontId="0" type="noConversion"/>
  </si>
  <si>
    <t>CBA-308</t>
    <phoneticPr fontId="0" type="noConversion"/>
  </si>
  <si>
    <t>PE POWDER</t>
    <phoneticPr fontId="0" type="noConversion"/>
  </si>
  <si>
    <t>FHP05040</t>
    <phoneticPr fontId="0" type="noConversion"/>
  </si>
  <si>
    <t>PBQ(Inhibitor)</t>
    <phoneticPr fontId="0" type="noConversion"/>
  </si>
  <si>
    <t>CBA-109N</t>
    <phoneticPr fontId="0" type="noConversion"/>
  </si>
  <si>
    <t>Dispersing Agent</t>
    <phoneticPr fontId="0" type="noConversion"/>
  </si>
  <si>
    <t>BYK W972</t>
    <phoneticPr fontId="0" type="noConversion"/>
  </si>
  <si>
    <t>Wetting &amp; Dispersing Agent</t>
    <phoneticPr fontId="0" type="noConversion"/>
  </si>
  <si>
    <t>BYK W996</t>
    <phoneticPr fontId="0" type="noConversion"/>
  </si>
  <si>
    <t>Caco3</t>
    <phoneticPr fontId="0" type="noConversion"/>
  </si>
  <si>
    <t>Calcum carbonate</t>
    <phoneticPr fontId="0" type="noConversion"/>
  </si>
  <si>
    <t>MgO Paste</t>
    <phoneticPr fontId="0" type="noConversion"/>
  </si>
  <si>
    <t>CBU-613</t>
    <phoneticPr fontId="0" type="noConversion"/>
  </si>
  <si>
    <t>Glass</t>
    <phoneticPr fontId="0" type="noConversion"/>
  </si>
  <si>
    <t>JUSHI 442K</t>
    <phoneticPr fontId="0" type="noConversion"/>
  </si>
  <si>
    <t>MATRICS Total</t>
    <phoneticPr fontId="0" type="noConversion"/>
  </si>
  <si>
    <t>SMC Total</t>
    <phoneticPr fontId="0" type="noConversion"/>
  </si>
  <si>
    <t>Matrix</t>
    <phoneticPr fontId="0" type="noConversion"/>
  </si>
  <si>
    <t>SMC MACHINE SETTING PROGRAM(IDEAL)</t>
    <phoneticPr fontId="0" type="noConversion"/>
  </si>
  <si>
    <t>M/Min</t>
    <phoneticPr fontId="0" type="noConversion"/>
  </si>
  <si>
    <t>Basic parametor setting</t>
    <phoneticPr fontId="0" type="noConversion"/>
  </si>
  <si>
    <t>SMC Paste Matric Specific Gravity</t>
    <phoneticPr fontId="0" type="noConversion"/>
  </si>
  <si>
    <t>Kg/M3</t>
    <phoneticPr fontId="0" type="noConversion"/>
  </si>
  <si>
    <t>SMC Carrier film(thickness)</t>
    <phoneticPr fontId="0" type="noConversion"/>
  </si>
  <si>
    <t>mm</t>
    <phoneticPr fontId="0" type="noConversion"/>
  </si>
  <si>
    <t>g/M2</t>
    <phoneticPr fontId="0" type="noConversion"/>
  </si>
  <si>
    <t>GLASS CONTENTS</t>
    <phoneticPr fontId="0" type="noConversion"/>
  </si>
  <si>
    <t>ON</t>
  </si>
  <si>
    <t>200x200mm SMC WT</t>
    <phoneticPr fontId="0" type="noConversion"/>
  </si>
  <si>
    <t>g</t>
    <phoneticPr fontId="0" type="noConversion"/>
  </si>
  <si>
    <t>200x200mm GLASS WT</t>
    <phoneticPr fontId="0" type="noConversion"/>
  </si>
  <si>
    <t>200x200mm PASTE WT</t>
    <phoneticPr fontId="0" type="noConversion"/>
  </si>
  <si>
    <t>1st Glass Cutter</t>
    <phoneticPr fontId="0" type="noConversion"/>
  </si>
  <si>
    <t>1st Glass Tex</t>
    <phoneticPr fontId="0" type="noConversion"/>
  </si>
  <si>
    <t>TEX</t>
    <phoneticPr fontId="0" type="noConversion"/>
  </si>
  <si>
    <t>/</t>
    <phoneticPr fontId="0" type="noConversion"/>
  </si>
  <si>
    <t>1st Cutted glass size</t>
    <phoneticPr fontId="0" type="noConversion"/>
  </si>
  <si>
    <t>(inch)</t>
    <phoneticPr fontId="0" type="noConversion"/>
  </si>
  <si>
    <t>Nos of Suppying Glass Rovings(1st Cutter) :</t>
    <phoneticPr fontId="0" type="noConversion"/>
  </si>
  <si>
    <t>(Default : 32)</t>
    <phoneticPr fontId="0" type="noConversion"/>
  </si>
  <si>
    <t>Nos of roving cutter(1st) :</t>
    <phoneticPr fontId="0" type="noConversion"/>
  </si>
  <si>
    <t>(Default : 24)</t>
    <phoneticPr fontId="0" type="noConversion"/>
  </si>
  <si>
    <t>2nd Glass Cutter</t>
    <phoneticPr fontId="0" type="noConversion"/>
  </si>
  <si>
    <t>2nd Glass Tex</t>
    <phoneticPr fontId="0" type="noConversion"/>
  </si>
  <si>
    <t>2nd Cutted glass size</t>
    <phoneticPr fontId="0" type="noConversion"/>
  </si>
  <si>
    <t>Nos of Suppying Glass Rovings(2nd Cutter) :</t>
    <phoneticPr fontId="0" type="noConversion"/>
  </si>
  <si>
    <t>Nos of roving cutter :</t>
    <phoneticPr fontId="0" type="noConversion"/>
  </si>
  <si>
    <t>3rd Direct Roving</t>
    <phoneticPr fontId="0" type="noConversion"/>
  </si>
  <si>
    <t>OFF</t>
  </si>
  <si>
    <t>3nd Glass Tex</t>
    <phoneticPr fontId="0" type="noConversion"/>
  </si>
  <si>
    <t>Nos of Direct roving</t>
    <phoneticPr fontId="0" type="noConversion"/>
  </si>
  <si>
    <t>(PCS)</t>
    <phoneticPr fontId="0" type="noConversion"/>
  </si>
  <si>
    <t>4th Woven Roving</t>
    <phoneticPr fontId="0" type="noConversion"/>
  </si>
  <si>
    <t>1. Glass weight for 1st cutter</t>
    <phoneticPr fontId="0" type="noConversion"/>
  </si>
  <si>
    <t>M</t>
    <phoneticPr fontId="0" type="noConversion"/>
  </si>
  <si>
    <t>2. Glass weight for 2nd cutter</t>
    <phoneticPr fontId="0" type="noConversion"/>
  </si>
  <si>
    <t>3. Glass weight for 3rd Direct Roving</t>
    <phoneticPr fontId="0" type="noConversion"/>
  </si>
  <si>
    <t>4. Glass weight for 4th Woven Roving</t>
    <phoneticPr fontId="0" type="noConversion"/>
  </si>
  <si>
    <t>Total Glass Weight</t>
    <phoneticPr fontId="0" type="noConversion"/>
  </si>
  <si>
    <t>CM</t>
    <phoneticPr fontId="0" type="noConversion"/>
  </si>
  <si>
    <t>1st Glass Roving Cutter RPM(Lower)</t>
    <phoneticPr fontId="0" type="noConversion"/>
  </si>
  <si>
    <t>RPM(Rounds /  Min)</t>
    <phoneticPr fontId="0" type="noConversion"/>
  </si>
  <si>
    <t>2nd Glass Roving Cutter RPM(Lower)</t>
    <phoneticPr fontId="0" type="noConversion"/>
  </si>
  <si>
    <t>Glass TEX</t>
    <phoneticPr fontId="0" type="noConversion"/>
  </si>
  <si>
    <t>Inch</t>
    <phoneticPr fontId="0" type="noConversion"/>
  </si>
  <si>
    <t>ON</t>
    <phoneticPr fontId="0" type="noConversion"/>
  </si>
  <si>
    <t>OFF</t>
    <phoneticPr fontId="0" type="noConversion"/>
  </si>
  <si>
    <t>Main Machine Belt Speed(Line Speed)</t>
  </si>
  <si>
    <t>MM</t>
  </si>
  <si>
    <t>SMC Sheet width</t>
  </si>
  <si>
    <t>CPS</t>
  </si>
  <si>
    <t>M/s</t>
  </si>
  <si>
    <t>M</t>
  </si>
  <si>
    <t>SMC UNIT TARGET WEIGHT</t>
  </si>
  <si>
    <t>Glass</t>
  </si>
  <si>
    <t>G/M2</t>
  </si>
  <si>
    <t>Doctor box 1</t>
  </si>
  <si>
    <t>Doctor box 2</t>
  </si>
  <si>
    <t>Raw material for SMC Production</t>
  </si>
  <si>
    <t>Paste A</t>
  </si>
  <si>
    <t>Color</t>
  </si>
  <si>
    <t>MgO</t>
  </si>
  <si>
    <t>Pump A</t>
  </si>
  <si>
    <t>kg/min</t>
  </si>
  <si>
    <t>g/min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</si>
</sst>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1" formatCode="_-* #,##0_-;\-* #,##0_-;_-* &quot;-&quot;_-;_-@_-"/>
    <numFmt numFmtId="43" formatCode="_-* #,##0.00_-;\-* #,##0.00_-;_-* &quot;-&quot;??_-;_-@_-"/>
    <numFmt numFmtId="164" formatCode="0.0%"/>
    <numFmt numFmtId="165" formatCode="_-* #,##0.0_-;\-* #,##0.0_-;_-* &quot;-&quot;_-;_-@_-"/>
    <numFmt numFmtId="166" formatCode="_-* #,##0.00_-;\-* #,##0.00_-;_-* &quot;-&quot;_-;_-@_-"/>
    <numFmt numFmtId="167" formatCode="_-* #,##0.0_-;\-* #,##0.0_-;_-* &quot;-&quot;?_-;_-@_-"/>
    <numFmt numFmtId="168" formatCode="0_);[Red]\(0\)"/>
    <numFmt numFmtId="169" formatCode="0.0_);[Red]\(0.0\)"/>
    <numFmt numFmtId="170" formatCode="_-* #,##0.0000_-;\-* #,##0.0000_-;_-* &quot;-&quot;_-;_-@_-"/>
    <numFmt numFmtId="171" formatCode="_-* #,##0.000000_-;\-* #,##0.000000_-;_-* &quot;-&quot;_-;_-@_-"/>
    <numFmt numFmtId="172" formatCode="_-* #,##0.000000000_-;\-* #,##0.000000000_-;_-* &quot;-&quot;_-;_-@_-"/>
  </numFmts>
  <fonts count="23">
    <font>
      <sz val="10"/>
      <color rgb="FF000000"/>
      <name val="Arial"/>
      <scheme val="minor"/>
    </font>
    <font>
      <sz val="11"/>
      <color theme="1"/>
      <name val="Arial"/>
      <family val="2"/>
      <charset val="129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scheme val="minor"/>
    </font>
    <font>
      <b/>
      <u/>
      <sz val="18"/>
      <color theme="1"/>
      <name val="Tahoma"/>
      <family val="2"/>
    </font>
    <font>
      <sz val="11"/>
      <color theme="1"/>
      <name val="Tahoma"/>
      <family val="2"/>
    </font>
    <font>
      <sz val="10"/>
      <color theme="1"/>
      <name val="Tahoma"/>
      <family val="2"/>
    </font>
    <font>
      <sz val="11"/>
      <color theme="1"/>
      <name val="Arial"/>
      <family val="3"/>
      <charset val="129"/>
      <scheme val="minor"/>
    </font>
    <font>
      <sz val="10"/>
      <name val="Tahoma"/>
      <family val="2"/>
    </font>
    <font>
      <sz val="11"/>
      <color rgb="FFFF0000"/>
      <name val="Tahoma"/>
      <family val="2"/>
    </font>
    <font>
      <sz val="11"/>
      <color theme="1"/>
      <name val="맑은 고딕"/>
      <family val="2"/>
      <charset val="129"/>
    </font>
    <font>
      <b/>
      <sz val="20"/>
      <color theme="1"/>
      <name val="Tahoma"/>
      <family val="2"/>
    </font>
    <font>
      <b/>
      <sz val="11"/>
      <color theme="1"/>
      <name val="Tahoma"/>
      <family val="2"/>
    </font>
    <font>
      <b/>
      <sz val="16"/>
      <color theme="1"/>
      <name val="Tahoma"/>
      <family val="2"/>
    </font>
    <font>
      <b/>
      <sz val="11"/>
      <color theme="2"/>
      <name val="Tahoma"/>
      <family val="2"/>
    </font>
    <font>
      <b/>
      <sz val="12"/>
      <color theme="1"/>
      <name val="Tahoma"/>
      <family val="2"/>
    </font>
    <font>
      <sz val="10"/>
      <color theme="2" tint="-4.9989318521683403E-2"/>
      <name val="Arial"/>
      <family val="2"/>
      <scheme val="minor"/>
    </font>
    <font>
      <sz val="9"/>
      <color theme="1"/>
      <name val="Tahoma"/>
      <family val="2"/>
    </font>
    <font>
      <sz val="9"/>
      <color theme="1"/>
      <name val="Arial"/>
      <family val="2"/>
      <scheme val="minor"/>
    </font>
    <font>
      <sz val="9"/>
      <color theme="1"/>
      <name val="맑은 고딕"/>
      <family val="2"/>
      <charset val="129"/>
    </font>
    <font>
      <b/>
      <sz val="11"/>
      <color rgb="FFFF0000"/>
      <name val="Tahoma"/>
      <family val="2"/>
    </font>
    <font>
      <b/>
      <sz val="11"/>
      <color rgb="FFFF0000"/>
      <name val="Tahoma"/>
      <family val="2"/>
      <charset val="129"/>
    </font>
    <font>
      <b/>
      <sz val="10"/>
      <color rgb="FFFF0000"/>
      <name val="Arial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4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41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0" fillId="0" borderId="0">
      <alignment vertical="center"/>
    </xf>
  </cellStyleXfs>
  <cellXfs count="211">
    <xf numFmtId="0" fontId="0" fillId="0" borderId="0" xfId="0"/>
    <xf numFmtId="0" fontId="2" fillId="0" borderId="0" xfId="0" applyFont="1"/>
    <xf numFmtId="0" fontId="2" fillId="2" borderId="1" xfId="0" applyFont="1" applyFill="1" applyBorder="1"/>
    <xf numFmtId="0" fontId="2" fillId="0" borderId="1" xfId="0" applyFont="1" applyBorder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0" borderId="0" xfId="3" applyFont="1">
      <alignment vertical="center"/>
    </xf>
    <xf numFmtId="0" fontId="5" fillId="0" borderId="0" xfId="3" applyFont="1">
      <alignment vertical="center"/>
    </xf>
    <xf numFmtId="0" fontId="5" fillId="0" borderId="1" xfId="3" applyFont="1" applyBorder="1">
      <alignment vertical="center"/>
    </xf>
    <xf numFmtId="0" fontId="5" fillId="3" borderId="1" xfId="3" applyFont="1" applyFill="1" applyBorder="1" applyAlignment="1">
      <alignment horizontal="center" vertical="center" wrapText="1"/>
    </xf>
    <xf numFmtId="41" fontId="5" fillId="3" borderId="1" xfId="4" applyFont="1" applyFill="1" applyBorder="1" applyAlignment="1">
      <alignment horizontal="center" vertical="center" wrapText="1"/>
    </xf>
    <xf numFmtId="0" fontId="6" fillId="5" borderId="1" xfId="3" applyFont="1" applyFill="1" applyBorder="1">
      <alignment vertical="center"/>
    </xf>
    <xf numFmtId="168" fontId="8" fillId="5" borderId="1" xfId="5" applyNumberFormat="1" applyFont="1" applyFill="1" applyBorder="1" applyAlignment="1">
      <alignment vertical="center" wrapText="1" shrinkToFit="1"/>
    </xf>
    <xf numFmtId="166" fontId="6" fillId="5" borderId="1" xfId="4" applyNumberFormat="1" applyFont="1" applyFill="1" applyBorder="1" applyAlignment="1">
      <alignment vertical="center" wrapText="1"/>
    </xf>
    <xf numFmtId="164" fontId="5" fillId="0" borderId="1" xfId="6" applyNumberFormat="1" applyFont="1" applyFill="1" applyBorder="1" applyAlignment="1">
      <alignment vertical="center" wrapText="1"/>
    </xf>
    <xf numFmtId="43" fontId="5" fillId="0" borderId="1" xfId="3" applyNumberFormat="1" applyFont="1" applyBorder="1">
      <alignment vertical="center"/>
    </xf>
    <xf numFmtId="164" fontId="5" fillId="0" borderId="1" xfId="6" applyNumberFormat="1" applyFont="1" applyFill="1" applyBorder="1">
      <alignment vertical="center"/>
    </xf>
    <xf numFmtId="0" fontId="6" fillId="5" borderId="1" xfId="3" applyFont="1" applyFill="1" applyBorder="1" applyAlignment="1">
      <alignment vertical="center" wrapText="1"/>
    </xf>
    <xf numFmtId="168" fontId="8" fillId="5" borderId="1" xfId="5" applyNumberFormat="1" applyFont="1" applyFill="1" applyBorder="1" applyAlignment="1">
      <alignment vertical="center" wrapText="1"/>
    </xf>
    <xf numFmtId="43" fontId="6" fillId="5" borderId="1" xfId="3" applyNumberFormat="1" applyFont="1" applyFill="1" applyBorder="1">
      <alignment vertical="center"/>
    </xf>
    <xf numFmtId="0" fontId="5" fillId="0" borderId="1" xfId="3" applyFont="1" applyBorder="1" applyAlignment="1">
      <alignment horizontal="center" vertical="center"/>
    </xf>
    <xf numFmtId="166" fontId="5" fillId="0" borderId="1" xfId="4" applyNumberFormat="1" applyFont="1" applyFill="1" applyBorder="1" applyAlignment="1">
      <alignment vertical="center"/>
    </xf>
    <xf numFmtId="166" fontId="5" fillId="2" borderId="1" xfId="4" applyNumberFormat="1" applyFont="1" applyFill="1" applyBorder="1" applyAlignment="1">
      <alignment vertical="center"/>
    </xf>
    <xf numFmtId="164" fontId="5" fillId="2" borderId="1" xfId="6" applyNumberFormat="1" applyFont="1" applyFill="1" applyBorder="1" applyAlignment="1">
      <alignment vertical="center" wrapText="1"/>
    </xf>
    <xf numFmtId="43" fontId="5" fillId="2" borderId="1" xfId="3" applyNumberFormat="1" applyFont="1" applyFill="1" applyBorder="1">
      <alignment vertical="center"/>
    </xf>
    <xf numFmtId="164" fontId="5" fillId="2" borderId="1" xfId="3" applyNumberFormat="1" applyFont="1" applyFill="1" applyBorder="1">
      <alignment vertical="center"/>
    </xf>
    <xf numFmtId="164" fontId="5" fillId="0" borderId="1" xfId="3" applyNumberFormat="1" applyFont="1" applyBorder="1">
      <alignment vertical="center"/>
    </xf>
    <xf numFmtId="166" fontId="5" fillId="0" borderId="1" xfId="3" applyNumberFormat="1" applyFont="1" applyBorder="1">
      <alignment vertical="center"/>
    </xf>
    <xf numFmtId="166" fontId="5" fillId="0" borderId="0" xfId="3" applyNumberFormat="1" applyFont="1">
      <alignment vertical="center"/>
    </xf>
    <xf numFmtId="43" fontId="5" fillId="0" borderId="0" xfId="3" applyNumberFormat="1" applyFont="1">
      <alignment vertical="center"/>
    </xf>
    <xf numFmtId="0" fontId="5" fillId="0" borderId="0" xfId="3" applyFont="1" applyAlignment="1">
      <alignment horizontal="center" vertical="center"/>
    </xf>
    <xf numFmtId="0" fontId="5" fillId="0" borderId="0" xfId="3" applyFont="1" applyAlignment="1">
      <alignment horizontal="right" vertical="center"/>
    </xf>
    <xf numFmtId="0" fontId="10" fillId="0" borderId="0" xfId="7">
      <alignment vertical="center"/>
    </xf>
    <xf numFmtId="0" fontId="12" fillId="0" borderId="0" xfId="3" applyFont="1">
      <alignment vertical="center"/>
    </xf>
    <xf numFmtId="0" fontId="13" fillId="0" borderId="0" xfId="3" applyFont="1" applyAlignment="1">
      <alignment horizontal="left" vertical="center"/>
    </xf>
    <xf numFmtId="0" fontId="13" fillId="0" borderId="0" xfId="3" applyFont="1" applyAlignment="1">
      <alignment horizontal="right" vertical="center"/>
    </xf>
    <xf numFmtId="0" fontId="13" fillId="0" borderId="0" xfId="3" applyFont="1" applyAlignment="1">
      <alignment horizontal="center" vertical="center"/>
    </xf>
    <xf numFmtId="0" fontId="5" fillId="0" borderId="0" xfId="3" applyFont="1" applyAlignment="1">
      <alignment horizontal="left" vertical="center"/>
    </xf>
    <xf numFmtId="0" fontId="13" fillId="7" borderId="0" xfId="3" applyFont="1" applyFill="1" applyAlignment="1">
      <alignment horizontal="left" vertical="center"/>
    </xf>
    <xf numFmtId="0" fontId="12" fillId="7" borderId="0" xfId="3" applyFont="1" applyFill="1" applyAlignment="1">
      <alignment horizontal="left" vertical="center"/>
    </xf>
    <xf numFmtId="0" fontId="12" fillId="7" borderId="0" xfId="3" applyFont="1" applyFill="1" applyAlignment="1">
      <alignment horizontal="right" vertical="center"/>
    </xf>
    <xf numFmtId="0" fontId="12" fillId="7" borderId="0" xfId="3" applyFont="1" applyFill="1" applyAlignment="1">
      <alignment horizontal="center" vertical="center"/>
    </xf>
    <xf numFmtId="0" fontId="12" fillId="7" borderId="0" xfId="3" applyFont="1" applyFill="1">
      <alignment vertical="center"/>
    </xf>
    <xf numFmtId="0" fontId="5" fillId="0" borderId="7" xfId="3" applyFont="1" applyBorder="1" applyAlignment="1">
      <alignment horizontal="left" vertical="center"/>
    </xf>
    <xf numFmtId="0" fontId="5" fillId="0" borderId="8" xfId="3" applyFont="1" applyBorder="1" applyAlignment="1">
      <alignment horizontal="left" vertical="center"/>
    </xf>
    <xf numFmtId="0" fontId="5" fillId="0" borderId="9" xfId="3" applyFont="1" applyBorder="1" applyAlignment="1">
      <alignment horizontal="left" vertical="center"/>
    </xf>
    <xf numFmtId="0" fontId="5" fillId="5" borderId="7" xfId="3" applyFont="1" applyFill="1" applyBorder="1" applyAlignment="1">
      <alignment horizontal="left" vertical="center"/>
    </xf>
    <xf numFmtId="0" fontId="5" fillId="5" borderId="0" xfId="3" applyFont="1" applyFill="1">
      <alignment vertical="center"/>
    </xf>
    <xf numFmtId="0" fontId="15" fillId="7" borderId="10" xfId="3" applyFont="1" applyFill="1" applyBorder="1" applyAlignment="1">
      <alignment horizontal="left" vertical="center"/>
    </xf>
    <xf numFmtId="0" fontId="12" fillId="7" borderId="11" xfId="3" applyFont="1" applyFill="1" applyBorder="1" applyAlignment="1">
      <alignment horizontal="left" vertical="center"/>
    </xf>
    <xf numFmtId="0" fontId="12" fillId="7" borderId="11" xfId="3" applyFont="1" applyFill="1" applyBorder="1" applyAlignment="1">
      <alignment horizontal="right" vertical="center"/>
    </xf>
    <xf numFmtId="0" fontId="12" fillId="7" borderId="11" xfId="3" applyFont="1" applyFill="1" applyBorder="1" applyAlignment="1">
      <alignment horizontal="center" vertical="center"/>
    </xf>
    <xf numFmtId="0" fontId="12" fillId="7" borderId="11" xfId="3" applyFont="1" applyFill="1" applyBorder="1">
      <alignment vertical="center"/>
    </xf>
    <xf numFmtId="0" fontId="5" fillId="0" borderId="12" xfId="3" applyFont="1" applyBorder="1">
      <alignment vertical="center"/>
    </xf>
    <xf numFmtId="0" fontId="5" fillId="4" borderId="1" xfId="3" applyFont="1" applyFill="1" applyBorder="1" applyAlignment="1" applyProtection="1">
      <alignment horizontal="right" vertical="center"/>
      <protection locked="0"/>
    </xf>
    <xf numFmtId="166" fontId="5" fillId="0" borderId="0" xfId="4" applyNumberFormat="1" applyFont="1" applyFill="1" applyBorder="1" applyAlignment="1" applyProtection="1">
      <alignment horizontal="left" vertical="center"/>
    </xf>
    <xf numFmtId="0" fontId="5" fillId="0" borderId="13" xfId="3" applyFont="1" applyBorder="1">
      <alignment vertical="center"/>
    </xf>
    <xf numFmtId="0" fontId="5" fillId="0" borderId="14" xfId="3" applyFont="1" applyBorder="1">
      <alignment vertical="center"/>
    </xf>
    <xf numFmtId="0" fontId="5" fillId="0" borderId="14" xfId="3" applyFont="1" applyBorder="1" applyAlignment="1">
      <alignment horizontal="center" vertical="center"/>
    </xf>
    <xf numFmtId="0" fontId="15" fillId="7" borderId="15" xfId="3" applyFont="1" applyFill="1" applyBorder="1" applyAlignment="1">
      <alignment horizontal="left" vertical="center"/>
    </xf>
    <xf numFmtId="0" fontId="12" fillId="7" borderId="16" xfId="3" applyFont="1" applyFill="1" applyBorder="1" applyAlignment="1">
      <alignment horizontal="left" vertical="center"/>
    </xf>
    <xf numFmtId="0" fontId="12" fillId="7" borderId="16" xfId="3" applyFont="1" applyFill="1" applyBorder="1" applyAlignment="1">
      <alignment horizontal="right" vertical="center"/>
    </xf>
    <xf numFmtId="0" fontId="12" fillId="7" borderId="16" xfId="3" applyFont="1" applyFill="1" applyBorder="1" applyAlignment="1">
      <alignment horizontal="center" vertical="center"/>
    </xf>
    <xf numFmtId="0" fontId="12" fillId="7" borderId="16" xfId="3" applyFont="1" applyFill="1" applyBorder="1">
      <alignment vertical="center"/>
    </xf>
    <xf numFmtId="0" fontId="5" fillId="4" borderId="2" xfId="3" applyFont="1" applyFill="1" applyBorder="1" applyAlignment="1" applyProtection="1">
      <alignment horizontal="right" vertical="center"/>
      <protection locked="0"/>
    </xf>
    <xf numFmtId="0" fontId="5" fillId="4" borderId="1" xfId="3" applyFont="1" applyFill="1" applyBorder="1" applyAlignment="1" applyProtection="1">
      <alignment horizontal="center" vertical="center"/>
      <protection locked="0"/>
    </xf>
    <xf numFmtId="0" fontId="5" fillId="4" borderId="2" xfId="3" applyFont="1" applyFill="1" applyBorder="1" applyAlignment="1" applyProtection="1">
      <alignment horizontal="center" vertical="center"/>
      <protection locked="0"/>
    </xf>
    <xf numFmtId="164" fontId="5" fillId="0" borderId="0" xfId="6" applyNumberFormat="1" applyFont="1" applyProtection="1">
      <alignment vertical="center"/>
    </xf>
    <xf numFmtId="0" fontId="12" fillId="0" borderId="0" xfId="3" applyFont="1" applyAlignment="1">
      <alignment horizontal="left" vertical="center"/>
    </xf>
    <xf numFmtId="0" fontId="5" fillId="4" borderId="0" xfId="3" applyFont="1" applyFill="1">
      <alignment vertical="center"/>
    </xf>
    <xf numFmtId="169" fontId="5" fillId="0" borderId="0" xfId="3" applyNumberFormat="1" applyFont="1" applyAlignment="1">
      <alignment horizontal="right" vertical="center"/>
    </xf>
    <xf numFmtId="0" fontId="5" fillId="2" borderId="7" xfId="3" applyFont="1" applyFill="1" applyBorder="1" applyAlignment="1">
      <alignment horizontal="left" vertical="center"/>
    </xf>
    <xf numFmtId="0" fontId="5" fillId="2" borderId="8" xfId="3" applyFont="1" applyFill="1" applyBorder="1" applyAlignment="1">
      <alignment horizontal="left" vertical="center"/>
    </xf>
    <xf numFmtId="0" fontId="5" fillId="2" borderId="9" xfId="3" applyFont="1" applyFill="1" applyBorder="1" applyAlignment="1">
      <alignment horizontal="left" vertical="center"/>
    </xf>
    <xf numFmtId="0" fontId="5" fillId="2" borderId="18" xfId="3" applyFont="1" applyFill="1" applyBorder="1" applyAlignment="1">
      <alignment horizontal="left" vertical="center"/>
    </xf>
    <xf numFmtId="0" fontId="5" fillId="2" borderId="19" xfId="3" applyFont="1" applyFill="1" applyBorder="1" applyAlignment="1">
      <alignment horizontal="left" vertical="center"/>
    </xf>
    <xf numFmtId="0" fontId="5" fillId="2" borderId="20" xfId="3" applyFont="1" applyFill="1" applyBorder="1" applyAlignment="1">
      <alignment horizontal="left" vertical="center"/>
    </xf>
    <xf numFmtId="0" fontId="12" fillId="0" borderId="0" xfId="3" applyFont="1" applyAlignment="1">
      <alignment horizontal="center" vertical="center"/>
    </xf>
    <xf numFmtId="0" fontId="10" fillId="0" borderId="0" xfId="7" applyAlignment="1">
      <alignment horizontal="center" vertical="center"/>
    </xf>
    <xf numFmtId="0" fontId="5" fillId="5" borderId="9" xfId="3" applyFont="1" applyFill="1" applyBorder="1" applyAlignment="1">
      <alignment horizontal="left" vertical="center"/>
    </xf>
    <xf numFmtId="0" fontId="10" fillId="0" borderId="1" xfId="7" applyBorder="1" applyAlignment="1">
      <alignment horizontal="center" vertical="center"/>
    </xf>
    <xf numFmtId="165" fontId="5" fillId="0" borderId="1" xfId="1" applyNumberFormat="1" applyFont="1" applyFill="1" applyBorder="1" applyAlignment="1" applyProtection="1">
      <alignment vertical="center"/>
    </xf>
    <xf numFmtId="165" fontId="5" fillId="0" borderId="7" xfId="1" applyNumberFormat="1" applyFont="1" applyFill="1" applyBorder="1" applyAlignment="1" applyProtection="1">
      <alignment vertical="center"/>
    </xf>
    <xf numFmtId="166" fontId="5" fillId="4" borderId="1" xfId="1" applyNumberFormat="1" applyFont="1" applyFill="1" applyBorder="1" applyAlignment="1" applyProtection="1">
      <alignment vertical="center"/>
      <protection locked="0"/>
    </xf>
    <xf numFmtId="166" fontId="10" fillId="0" borderId="1" xfId="1" applyNumberFormat="1" applyFont="1" applyBorder="1" applyAlignment="1">
      <alignment vertical="center"/>
    </xf>
    <xf numFmtId="170" fontId="5" fillId="0" borderId="0" xfId="1" applyNumberFormat="1" applyFont="1" applyAlignment="1">
      <alignment vertical="center"/>
    </xf>
    <xf numFmtId="170" fontId="13" fillId="0" borderId="0" xfId="1" applyNumberFormat="1" applyFont="1" applyAlignment="1">
      <alignment horizontal="left" vertical="center"/>
    </xf>
    <xf numFmtId="170" fontId="5" fillId="0" borderId="0" xfId="1" applyNumberFormat="1" applyFont="1" applyFill="1" applyBorder="1" applyAlignment="1" applyProtection="1">
      <alignment horizontal="left" vertical="center"/>
    </xf>
    <xf numFmtId="170" fontId="5" fillId="4" borderId="1" xfId="1" applyNumberFormat="1" applyFont="1" applyFill="1" applyBorder="1" applyAlignment="1" applyProtection="1">
      <alignment horizontal="left" vertical="center"/>
      <protection locked="0"/>
    </xf>
    <xf numFmtId="170" fontId="12" fillId="7" borderId="0" xfId="1" applyNumberFormat="1" applyFont="1" applyFill="1" applyBorder="1" applyAlignment="1" applyProtection="1">
      <alignment horizontal="left" vertical="center"/>
    </xf>
    <xf numFmtId="170" fontId="12" fillId="0" borderId="0" xfId="1" applyNumberFormat="1" applyFont="1" applyAlignment="1">
      <alignment vertical="center"/>
    </xf>
    <xf numFmtId="170" fontId="10" fillId="0" borderId="1" xfId="1" applyNumberFormat="1" applyFont="1" applyBorder="1" applyAlignment="1">
      <alignment vertical="center"/>
    </xf>
    <xf numFmtId="170" fontId="10" fillId="0" borderId="0" xfId="1" applyNumberFormat="1" applyFont="1" applyAlignment="1">
      <alignment vertical="center"/>
    </xf>
    <xf numFmtId="170" fontId="5" fillId="2" borderId="1" xfId="1" applyNumberFormat="1" applyFont="1" applyFill="1" applyBorder="1" applyAlignment="1" applyProtection="1">
      <alignment horizontal="left" vertical="center"/>
    </xf>
    <xf numFmtId="170" fontId="5" fillId="2" borderId="21" xfId="1" applyNumberFormat="1" applyFont="1" applyFill="1" applyBorder="1" applyAlignment="1" applyProtection="1">
      <alignment horizontal="left" vertical="center"/>
    </xf>
    <xf numFmtId="170" fontId="5" fillId="8" borderId="3" xfId="1" applyNumberFormat="1" applyFont="1" applyFill="1" applyBorder="1" applyAlignment="1" applyProtection="1">
      <alignment horizontal="right" vertical="center"/>
      <protection locked="0"/>
    </xf>
    <xf numFmtId="170" fontId="5" fillId="4" borderId="4" xfId="1" applyNumberFormat="1" applyFont="1" applyFill="1" applyBorder="1" applyAlignment="1" applyProtection="1">
      <alignment horizontal="left" vertical="center"/>
      <protection locked="0"/>
    </xf>
    <xf numFmtId="170" fontId="5" fillId="8" borderId="17" xfId="1" applyNumberFormat="1" applyFont="1" applyFill="1" applyBorder="1" applyAlignment="1" applyProtection="1">
      <alignment horizontal="right" vertical="center"/>
      <protection locked="0"/>
    </xf>
    <xf numFmtId="170" fontId="5" fillId="0" borderId="0" xfId="1" applyNumberFormat="1" applyFont="1" applyAlignment="1">
      <alignment horizontal="center" vertical="center"/>
    </xf>
    <xf numFmtId="170" fontId="5" fillId="0" borderId="1" xfId="1" applyNumberFormat="1" applyFont="1" applyFill="1" applyBorder="1" applyAlignment="1" applyProtection="1">
      <alignment horizontal="left" vertical="center"/>
    </xf>
    <xf numFmtId="170" fontId="9" fillId="9" borderId="1" xfId="1" applyNumberFormat="1" applyFont="1" applyFill="1" applyBorder="1" applyAlignment="1" applyProtection="1">
      <alignment horizontal="left" vertical="center"/>
    </xf>
    <xf numFmtId="170" fontId="5" fillId="0" borderId="0" xfId="1" applyNumberFormat="1" applyFont="1" applyAlignment="1" applyProtection="1">
      <alignment horizontal="left" vertical="center"/>
    </xf>
    <xf numFmtId="170" fontId="5" fillId="0" borderId="0" xfId="1" applyNumberFormat="1" applyFont="1" applyAlignment="1">
      <alignment horizontal="left" vertical="center"/>
    </xf>
    <xf numFmtId="0" fontId="10" fillId="0" borderId="1" xfId="7" applyBorder="1">
      <alignment vertical="center"/>
    </xf>
    <xf numFmtId="0" fontId="5" fillId="5" borderId="0" xfId="3" applyFont="1" applyFill="1" applyAlignment="1">
      <alignment horizontal="left" vertical="center"/>
    </xf>
    <xf numFmtId="170" fontId="10" fillId="0" borderId="0" xfId="1" applyNumberFormat="1" applyFont="1" applyBorder="1" applyAlignment="1">
      <alignment vertical="center"/>
    </xf>
    <xf numFmtId="0" fontId="2" fillId="0" borderId="0" xfId="0" applyFont="1" applyAlignment="1">
      <alignment vertical="center"/>
    </xf>
    <xf numFmtId="164" fontId="5" fillId="0" borderId="0" xfId="3" applyNumberFormat="1" applyFont="1">
      <alignment vertical="center"/>
    </xf>
    <xf numFmtId="0" fontId="5" fillId="5" borderId="9" xfId="3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5" fillId="5" borderId="8" xfId="3" applyFont="1" applyFill="1" applyBorder="1" applyAlignment="1">
      <alignment horizontal="left" vertical="center"/>
    </xf>
    <xf numFmtId="0" fontId="11" fillId="6" borderId="0" xfId="3" applyFont="1" applyFill="1" applyAlignment="1">
      <alignment horizontal="center" vertical="center"/>
    </xf>
    <xf numFmtId="0" fontId="11" fillId="6" borderId="0" xfId="3" applyFont="1" applyFill="1">
      <alignment vertical="center"/>
    </xf>
    <xf numFmtId="0" fontId="12" fillId="10" borderId="1" xfId="3" applyFont="1" applyFill="1" applyBorder="1" applyAlignment="1">
      <alignment horizontal="center" vertical="center"/>
    </xf>
    <xf numFmtId="166" fontId="5" fillId="0" borderId="0" xfId="4" applyNumberFormat="1" applyFont="1" applyFill="1" applyBorder="1" applyAlignment="1" applyProtection="1">
      <alignment horizontal="center" vertical="center"/>
    </xf>
    <xf numFmtId="0" fontId="12" fillId="10" borderId="7" xfId="3" applyFont="1" applyFill="1" applyBorder="1" applyAlignment="1">
      <alignment horizontal="center" vertical="center"/>
    </xf>
    <xf numFmtId="0" fontId="12" fillId="10" borderId="9" xfId="3" applyFont="1" applyFill="1" applyBorder="1" applyAlignment="1">
      <alignment horizontal="center" vertical="center"/>
    </xf>
    <xf numFmtId="166" fontId="12" fillId="4" borderId="1" xfId="1" applyNumberFormat="1" applyFont="1" applyFill="1" applyBorder="1" applyAlignment="1" applyProtection="1">
      <alignment vertical="center"/>
      <protection locked="0"/>
    </xf>
    <xf numFmtId="164" fontId="12" fillId="4" borderId="1" xfId="2" applyNumberFormat="1" applyFont="1" applyFill="1" applyBorder="1" applyAlignment="1" applyProtection="1">
      <alignment vertical="center"/>
      <protection locked="0"/>
    </xf>
    <xf numFmtId="0" fontId="12" fillId="4" borderId="1" xfId="3" applyFont="1" applyFill="1" applyBorder="1" applyAlignment="1">
      <alignment horizontal="left" vertical="center"/>
    </xf>
    <xf numFmtId="41" fontId="10" fillId="4" borderId="1" xfId="1" applyFont="1" applyFill="1" applyBorder="1" applyAlignment="1">
      <alignment vertical="center"/>
    </xf>
    <xf numFmtId="0" fontId="12" fillId="2" borderId="21" xfId="0" applyFont="1" applyFill="1" applyBorder="1" applyAlignment="1">
      <alignment horizontal="center" vertical="center"/>
    </xf>
    <xf numFmtId="166" fontId="5" fillId="0" borderId="0" xfId="4" applyNumberFormat="1" applyFont="1">
      <alignment vertical="center"/>
    </xf>
    <xf numFmtId="166" fontId="5" fillId="3" borderId="1" xfId="4" applyNumberFormat="1" applyFont="1" applyFill="1" applyBorder="1" applyAlignment="1">
      <alignment horizontal="center" vertical="center" wrapText="1"/>
    </xf>
    <xf numFmtId="166" fontId="9" fillId="3" borderId="1" xfId="4" applyNumberFormat="1" applyFont="1" applyFill="1" applyBorder="1">
      <alignment vertical="center"/>
    </xf>
    <xf numFmtId="166" fontId="9" fillId="2" borderId="1" xfId="4" applyNumberFormat="1" applyFont="1" applyFill="1" applyBorder="1">
      <alignment vertical="center"/>
    </xf>
    <xf numFmtId="166" fontId="2" fillId="2" borderId="1" xfId="0" applyNumberFormat="1" applyFont="1" applyFill="1" applyBorder="1"/>
    <xf numFmtId="166" fontId="10" fillId="0" borderId="0" xfId="7" applyNumberFormat="1">
      <alignment vertical="center"/>
    </xf>
    <xf numFmtId="166" fontId="0" fillId="0" borderId="0" xfId="0" applyNumberFormat="1"/>
    <xf numFmtId="171" fontId="2" fillId="0" borderId="1" xfId="0" applyNumberFormat="1" applyFont="1" applyBorder="1"/>
    <xf numFmtId="172" fontId="2" fillId="0" borderId="1" xfId="0" applyNumberFormat="1" applyFont="1" applyBorder="1"/>
    <xf numFmtId="166" fontId="16" fillId="11" borderId="1" xfId="0" applyNumberFormat="1" applyFont="1" applyFill="1" applyBorder="1"/>
    <xf numFmtId="0" fontId="17" fillId="5" borderId="0" xfId="3" applyFont="1" applyFill="1" applyAlignment="1">
      <alignment horizontal="left" vertical="center"/>
    </xf>
    <xf numFmtId="0" fontId="5" fillId="2" borderId="1" xfId="3" applyFont="1" applyFill="1" applyBorder="1" applyAlignment="1">
      <alignment horizontal="center" vertical="center"/>
    </xf>
    <xf numFmtId="0" fontId="5" fillId="2" borderId="21" xfId="3" applyFont="1" applyFill="1" applyBorder="1" applyAlignment="1">
      <alignment horizontal="center" vertical="center"/>
    </xf>
    <xf numFmtId="0" fontId="14" fillId="7" borderId="11" xfId="3" applyFont="1" applyFill="1" applyBorder="1" applyAlignment="1">
      <alignment horizontal="center" vertical="center"/>
    </xf>
    <xf numFmtId="0" fontId="14" fillId="7" borderId="16" xfId="3" applyFont="1" applyFill="1" applyBorder="1" applyAlignment="1">
      <alignment horizontal="center" vertical="center"/>
    </xf>
    <xf numFmtId="0" fontId="5" fillId="0" borderId="1" xfId="3" applyFont="1" applyBorder="1" applyAlignment="1">
      <alignment horizontal="left" vertical="center"/>
    </xf>
    <xf numFmtId="0" fontId="6" fillId="5" borderId="0" xfId="3" applyFont="1" applyFill="1">
      <alignment vertical="center"/>
    </xf>
    <xf numFmtId="166" fontId="6" fillId="5" borderId="0" xfId="4" applyNumberFormat="1" applyFont="1" applyFill="1" applyBorder="1" applyAlignment="1">
      <alignment vertical="center" wrapText="1"/>
    </xf>
    <xf numFmtId="43" fontId="6" fillId="5" borderId="0" xfId="3" applyNumberFormat="1" applyFont="1" applyFill="1">
      <alignment vertical="center"/>
    </xf>
    <xf numFmtId="164" fontId="5" fillId="0" borderId="0" xfId="6" applyNumberFormat="1" applyFont="1" applyFill="1" applyBorder="1" applyAlignment="1">
      <alignment vertical="center" wrapText="1"/>
    </xf>
    <xf numFmtId="164" fontId="5" fillId="0" borderId="0" xfId="6" applyNumberFormat="1" applyFont="1" applyFill="1" applyBorder="1">
      <alignment vertical="center"/>
    </xf>
    <xf numFmtId="166" fontId="10" fillId="0" borderId="0" xfId="1" applyNumberFormat="1" applyFont="1" applyBorder="1" applyAlignment="1">
      <alignment vertical="center"/>
    </xf>
    <xf numFmtId="41" fontId="5" fillId="0" borderId="0" xfId="1" applyFont="1" applyFill="1" applyBorder="1" applyAlignment="1" applyProtection="1">
      <alignment horizontal="left" vertical="center"/>
    </xf>
    <xf numFmtId="41" fontId="5" fillId="4" borderId="1" xfId="1" applyFont="1" applyFill="1" applyBorder="1" applyAlignment="1" applyProtection="1">
      <alignment horizontal="left" vertical="center"/>
      <protection locked="0"/>
    </xf>
    <xf numFmtId="0" fontId="12" fillId="4" borderId="1" xfId="3" applyFont="1" applyFill="1" applyBorder="1" applyAlignment="1">
      <alignment horizontal="center" vertical="center"/>
    </xf>
    <xf numFmtId="41" fontId="5" fillId="0" borderId="0" xfId="1" applyFont="1" applyFill="1" applyBorder="1" applyAlignment="1" applyProtection="1">
      <alignment horizontal="center" vertical="center"/>
    </xf>
    <xf numFmtId="165" fontId="5" fillId="0" borderId="0" xfId="1" applyNumberFormat="1" applyFont="1" applyAlignment="1">
      <alignment vertical="center"/>
    </xf>
    <xf numFmtId="165" fontId="11" fillId="6" borderId="0" xfId="1" applyNumberFormat="1" applyFont="1" applyFill="1" applyAlignment="1">
      <alignment vertical="center"/>
    </xf>
    <xf numFmtId="165" fontId="13" fillId="0" borderId="0" xfId="1" applyNumberFormat="1" applyFont="1" applyAlignment="1">
      <alignment horizontal="left" vertical="center"/>
    </xf>
    <xf numFmtId="165" fontId="12" fillId="7" borderId="0" xfId="1" applyNumberFormat="1" applyFont="1" applyFill="1" applyAlignment="1">
      <alignment vertical="center"/>
    </xf>
    <xf numFmtId="165" fontId="12" fillId="0" borderId="0" xfId="1" applyNumberFormat="1" applyFont="1" applyAlignment="1">
      <alignment vertical="center"/>
    </xf>
    <xf numFmtId="165" fontId="10" fillId="0" borderId="0" xfId="1" applyNumberFormat="1" applyFont="1" applyAlignment="1">
      <alignment vertical="center"/>
    </xf>
    <xf numFmtId="165" fontId="10" fillId="0" borderId="0" xfId="1" applyNumberFormat="1" applyFont="1" applyBorder="1" applyAlignment="1">
      <alignment vertical="center"/>
    </xf>
    <xf numFmtId="165" fontId="12" fillId="7" borderId="11" xfId="1" applyNumberFormat="1" applyFont="1" applyFill="1" applyBorder="1" applyAlignment="1">
      <alignment vertical="center"/>
    </xf>
    <xf numFmtId="165" fontId="5" fillId="0" borderId="0" xfId="1" applyNumberFormat="1" applyFont="1" applyFill="1" applyBorder="1" applyAlignment="1" applyProtection="1">
      <alignment horizontal="center" vertical="center"/>
    </xf>
    <xf numFmtId="165" fontId="5" fillId="0" borderId="0" xfId="1" applyNumberFormat="1" applyFont="1" applyAlignment="1">
      <alignment horizontal="center" vertical="center"/>
    </xf>
    <xf numFmtId="165" fontId="5" fillId="0" borderId="14" xfId="1" applyNumberFormat="1" applyFont="1" applyBorder="1" applyAlignment="1">
      <alignment vertical="center"/>
    </xf>
    <xf numFmtId="165" fontId="12" fillId="7" borderId="16" xfId="1" applyNumberFormat="1" applyFont="1" applyFill="1" applyBorder="1" applyAlignment="1">
      <alignment vertical="center"/>
    </xf>
    <xf numFmtId="165" fontId="5" fillId="0" borderId="1" xfId="1" applyNumberFormat="1" applyFont="1" applyBorder="1" applyAlignment="1">
      <alignment vertical="center"/>
    </xf>
    <xf numFmtId="0" fontId="18" fillId="0" borderId="1" xfId="0" applyFont="1" applyBorder="1"/>
    <xf numFmtId="0" fontId="19" fillId="0" borderId="0" xfId="7" applyFont="1">
      <alignment vertical="center"/>
    </xf>
    <xf numFmtId="0" fontId="19" fillId="0" borderId="0" xfId="7" applyFont="1" applyAlignment="1">
      <alignment horizontal="center" vertical="center"/>
    </xf>
    <xf numFmtId="0" fontId="5" fillId="3" borderId="7" xfId="3" applyFont="1" applyFill="1" applyBorder="1" applyAlignment="1">
      <alignment horizontal="center" vertical="center" wrapText="1"/>
    </xf>
    <xf numFmtId="43" fontId="5" fillId="0" borderId="7" xfId="3" applyNumberFormat="1" applyFont="1" applyBorder="1">
      <alignment vertical="center"/>
    </xf>
    <xf numFmtId="0" fontId="0" fillId="0" borderId="1" xfId="0" applyBorder="1" applyAlignment="1">
      <alignment horizontal="center"/>
    </xf>
    <xf numFmtId="0" fontId="0" fillId="4" borderId="1" xfId="0" applyFill="1" applyBorder="1" applyAlignment="1">
      <alignment horizontal="center"/>
    </xf>
    <xf numFmtId="43" fontId="10" fillId="0" borderId="1" xfId="7" applyNumberFormat="1" applyBorder="1">
      <alignment vertical="center"/>
    </xf>
    <xf numFmtId="165" fontId="10" fillId="4" borderId="1" xfId="1" applyNumberFormat="1" applyFont="1" applyFill="1" applyBorder="1" applyAlignment="1">
      <alignment vertical="center"/>
    </xf>
    <xf numFmtId="0" fontId="2" fillId="4" borderId="1" xfId="0" applyFont="1" applyFill="1" applyBorder="1" applyAlignment="1">
      <alignment horizontal="center"/>
    </xf>
    <xf numFmtId="0" fontId="5" fillId="4" borderId="1" xfId="3" applyFont="1" applyFill="1" applyBorder="1" applyAlignment="1">
      <alignment horizontal="center" vertical="center"/>
    </xf>
    <xf numFmtId="165" fontId="5" fillId="4" borderId="1" xfId="1" applyNumberFormat="1" applyFont="1" applyFill="1" applyBorder="1" applyAlignment="1" applyProtection="1">
      <alignment vertical="center"/>
      <protection locked="0"/>
    </xf>
    <xf numFmtId="0" fontId="10" fillId="4" borderId="1" xfId="7" applyFill="1" applyBorder="1" applyAlignment="1">
      <alignment horizontal="center" vertical="center"/>
    </xf>
    <xf numFmtId="0" fontId="10" fillId="4" borderId="1" xfId="7" quotePrefix="1" applyFill="1" applyBorder="1" applyAlignment="1">
      <alignment horizontal="center" vertical="center"/>
    </xf>
    <xf numFmtId="164" fontId="5" fillId="0" borderId="0" xfId="2" applyNumberFormat="1" applyFont="1" applyAlignment="1">
      <alignment vertical="center"/>
    </xf>
    <xf numFmtId="10" fontId="5" fillId="0" borderId="0" xfId="2" applyNumberFormat="1" applyFont="1" applyAlignment="1">
      <alignment vertical="center"/>
    </xf>
    <xf numFmtId="0" fontId="2" fillId="0" borderId="7" xfId="0" applyFon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2" fillId="2" borderId="7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9" fillId="9" borderId="7" xfId="3" applyFont="1" applyFill="1" applyBorder="1" applyAlignment="1">
      <alignment horizontal="center" vertical="center"/>
    </xf>
    <xf numFmtId="0" fontId="9" fillId="9" borderId="8" xfId="3" applyFont="1" applyFill="1" applyBorder="1" applyAlignment="1">
      <alignment horizontal="center" vertical="center"/>
    </xf>
    <xf numFmtId="0" fontId="9" fillId="9" borderId="9" xfId="3" applyFont="1" applyFill="1" applyBorder="1" applyAlignment="1">
      <alignment horizontal="center" vertical="center"/>
    </xf>
    <xf numFmtId="0" fontId="5" fillId="0" borderId="7" xfId="3" applyFont="1" applyBorder="1" applyAlignment="1">
      <alignment horizontal="left" vertical="center"/>
    </xf>
    <xf numFmtId="0" fontId="5" fillId="0" borderId="9" xfId="3" applyFont="1" applyBorder="1" applyAlignment="1">
      <alignment horizontal="left" vertical="center"/>
    </xf>
    <xf numFmtId="0" fontId="9" fillId="9" borderId="7" xfId="3" applyFont="1" applyFill="1" applyBorder="1" applyAlignment="1">
      <alignment horizontal="left" vertical="center"/>
    </xf>
    <xf numFmtId="0" fontId="9" fillId="9" borderId="8" xfId="3" applyFont="1" applyFill="1" applyBorder="1" applyAlignment="1">
      <alignment horizontal="left" vertical="center"/>
    </xf>
    <xf numFmtId="0" fontId="9" fillId="9" borderId="9" xfId="3" applyFont="1" applyFill="1" applyBorder="1" applyAlignment="1">
      <alignment horizontal="left" vertical="center"/>
    </xf>
    <xf numFmtId="167" fontId="5" fillId="4" borderId="5" xfId="3" applyNumberFormat="1" applyFont="1" applyFill="1" applyBorder="1" applyAlignment="1">
      <alignment horizontal="center" vertical="center"/>
    </xf>
    <xf numFmtId="0" fontId="5" fillId="4" borderId="6" xfId="3" applyFont="1" applyFill="1" applyBorder="1" applyAlignment="1">
      <alignment horizontal="center" vertical="center"/>
    </xf>
    <xf numFmtId="0" fontId="18" fillId="0" borderId="7" xfId="0" applyFont="1" applyBorder="1" applyAlignment="1">
      <alignment horizontal="center"/>
    </xf>
    <xf numFmtId="0" fontId="18" fillId="0" borderId="9" xfId="0" applyFont="1" applyBorder="1" applyAlignment="1">
      <alignment horizontal="center"/>
    </xf>
    <xf numFmtId="0" fontId="5" fillId="4" borderId="1" xfId="3" applyFont="1" applyFill="1" applyBorder="1" applyAlignment="1">
      <alignment horizontal="left" vertical="center"/>
    </xf>
    <xf numFmtId="0" fontId="10" fillId="0" borderId="1" xfId="7" applyBorder="1" applyAlignment="1">
      <alignment horizontal="center" vertical="center"/>
    </xf>
    <xf numFmtId="0" fontId="12" fillId="4" borderId="7" xfId="3" applyFont="1" applyFill="1" applyBorder="1" applyAlignment="1">
      <alignment horizontal="left" vertical="center"/>
    </xf>
    <xf numFmtId="0" fontId="12" fillId="4" borderId="9" xfId="3" applyFont="1" applyFill="1" applyBorder="1" applyAlignment="1">
      <alignment horizontal="left" vertical="center"/>
    </xf>
    <xf numFmtId="0" fontId="5" fillId="4" borderId="7" xfId="3" applyFont="1" applyFill="1" applyBorder="1" applyAlignment="1">
      <alignment horizontal="left" vertical="center"/>
    </xf>
    <xf numFmtId="0" fontId="5" fillId="4" borderId="9" xfId="3" applyFont="1" applyFill="1" applyBorder="1" applyAlignment="1">
      <alignment horizontal="left" vertical="center"/>
    </xf>
    <xf numFmtId="0" fontId="20" fillId="4" borderId="7" xfId="3" applyFont="1" applyFill="1" applyBorder="1" applyAlignment="1">
      <alignment horizontal="left" vertical="center"/>
    </xf>
    <xf numFmtId="0" fontId="20" fillId="4" borderId="9" xfId="3" applyFont="1" applyFill="1" applyBorder="1" applyAlignment="1">
      <alignment horizontal="left" vertical="center"/>
    </xf>
    <xf numFmtId="0" fontId="20" fillId="4" borderId="1" xfId="3" applyFont="1" applyFill="1" applyBorder="1" applyAlignment="1">
      <alignment horizontal="left" vertical="center"/>
    </xf>
    <xf numFmtId="166" fontId="20" fillId="4" borderId="1" xfId="1" applyNumberFormat="1" applyFont="1" applyFill="1" applyBorder="1" applyAlignment="1" applyProtection="1">
      <alignment vertical="center"/>
      <protection locked="0"/>
    </xf>
    <xf numFmtId="0" fontId="20" fillId="4" borderId="1" xfId="3" applyFont="1" applyFill="1" applyBorder="1" applyAlignment="1">
      <alignment horizontal="center" vertical="center"/>
    </xf>
    <xf numFmtId="164" fontId="20" fillId="4" borderId="1" xfId="2" applyNumberFormat="1" applyFont="1" applyFill="1" applyBorder="1" applyAlignment="1" applyProtection="1">
      <alignment vertical="center"/>
      <protection locked="0"/>
    </xf>
    <xf numFmtId="0" fontId="21" fillId="4" borderId="1" xfId="3" applyFont="1" applyFill="1" applyBorder="1" applyAlignment="1">
      <alignment horizontal="left" vertical="center"/>
    </xf>
    <xf numFmtId="0" fontId="22" fillId="4" borderId="1" xfId="0" applyFont="1" applyFill="1" applyBorder="1" applyAlignment="1">
      <alignment horizontal="center"/>
    </xf>
    <xf numFmtId="41" fontId="21" fillId="4" borderId="1" xfId="1" applyFont="1" applyFill="1" applyBorder="1" applyAlignment="1" applyProtection="1">
      <alignment horizontal="left" vertical="center"/>
      <protection locked="0"/>
    </xf>
    <xf numFmtId="0" fontId="21" fillId="4" borderId="1" xfId="3" applyFont="1" applyFill="1" applyBorder="1" applyAlignment="1">
      <alignment horizontal="center" vertical="center"/>
    </xf>
  </cellXfs>
  <cellStyles count="8">
    <cellStyle name="Normal 2" xfId="5" xr:uid="{6073449B-0B68-4A1A-8079-59352C2A3B18}"/>
    <cellStyle name="백분율" xfId="2" builtinId="5"/>
    <cellStyle name="백분율 3" xfId="6" xr:uid="{D5BE8195-19D6-4426-AFF6-1B0F324B590C}"/>
    <cellStyle name="쉼표 [0]" xfId="1" builtinId="6"/>
    <cellStyle name="쉼표 [0] 3" xfId="4" xr:uid="{9EA854C0-17AA-4FF7-A162-DF50C9FD466F}"/>
    <cellStyle name="표준" xfId="0" builtinId="0"/>
    <cellStyle name="표준 2" xfId="7" xr:uid="{F2B7607F-13F3-47C4-BB92-5624E22FF66D}"/>
    <cellStyle name="표준 3" xfId="3" xr:uid="{D281CD93-73F4-4683-9EF5-2708830ABEC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157541</xdr:colOff>
      <xdr:row>30</xdr:row>
      <xdr:rowOff>211670</xdr:rowOff>
    </xdr:from>
    <xdr:to>
      <xdr:col>16</xdr:col>
      <xdr:colOff>278005</xdr:colOff>
      <xdr:row>147</xdr:row>
      <xdr:rowOff>99350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568A1738-4FC2-49AF-8836-CD830DA93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58741" y="6574370"/>
          <a:ext cx="6239324" cy="966414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35</xdr:row>
      <xdr:rowOff>0</xdr:rowOff>
    </xdr:from>
    <xdr:to>
      <xdr:col>24</xdr:col>
      <xdr:colOff>304800</xdr:colOff>
      <xdr:row>36</xdr:row>
      <xdr:rowOff>83820</xdr:rowOff>
    </xdr:to>
    <xdr:sp macro="" textlink="">
      <xdr:nvSpPr>
        <xdr:cNvPr id="3" name="AutoShape 1">
          <a:extLst>
            <a:ext uri="{FF2B5EF4-FFF2-40B4-BE49-F238E27FC236}">
              <a16:creationId xmlns:a16="http://schemas.microsoft.com/office/drawing/2014/main" id="{76ECE361-384F-486D-9F2D-719137755ED0}"/>
            </a:ext>
          </a:extLst>
        </xdr:cNvPr>
        <xdr:cNvSpPr>
          <a:spLocks noChangeAspect="1" noChangeArrowheads="1"/>
        </xdr:cNvSpPr>
      </xdr:nvSpPr>
      <xdr:spPr bwMode="auto">
        <a:xfrm>
          <a:off x="21777960" y="7452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24</xdr:col>
      <xdr:colOff>0</xdr:colOff>
      <xdr:row>35</xdr:row>
      <xdr:rowOff>0</xdr:rowOff>
    </xdr:from>
    <xdr:to>
      <xdr:col>24</xdr:col>
      <xdr:colOff>304800</xdr:colOff>
      <xdr:row>36</xdr:row>
      <xdr:rowOff>83820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DAB0DC8B-0496-4B19-A5B8-823A176EB383}"/>
            </a:ext>
          </a:extLst>
        </xdr:cNvPr>
        <xdr:cNvSpPr>
          <a:spLocks noChangeAspect="1" noChangeArrowheads="1"/>
        </xdr:cNvSpPr>
      </xdr:nvSpPr>
      <xdr:spPr bwMode="auto">
        <a:xfrm>
          <a:off x="21777960" y="7452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23</xdr:col>
      <xdr:colOff>0</xdr:colOff>
      <xdr:row>28</xdr:row>
      <xdr:rowOff>0</xdr:rowOff>
    </xdr:from>
    <xdr:to>
      <xdr:col>23</xdr:col>
      <xdr:colOff>304800</xdr:colOff>
      <xdr:row>29</xdr:row>
      <xdr:rowOff>91440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CD78120A-055E-4C21-AE21-E68BA17FF79D}"/>
            </a:ext>
          </a:extLst>
        </xdr:cNvPr>
        <xdr:cNvSpPr>
          <a:spLocks noChangeAspect="1" noChangeArrowheads="1"/>
        </xdr:cNvSpPr>
      </xdr:nvSpPr>
      <xdr:spPr bwMode="auto">
        <a:xfrm>
          <a:off x="21115020" y="5935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119746</xdr:colOff>
      <xdr:row>30</xdr:row>
      <xdr:rowOff>21772</xdr:rowOff>
    </xdr:from>
    <xdr:to>
      <xdr:col>37</xdr:col>
      <xdr:colOff>552060</xdr:colOff>
      <xdr:row>61</xdr:row>
      <xdr:rowOff>142016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F05AF970-B07D-4B7C-A9D2-7A3DAD205B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676917" y="6444343"/>
          <a:ext cx="14311600" cy="57917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157541</xdr:colOff>
      <xdr:row>30</xdr:row>
      <xdr:rowOff>211670</xdr:rowOff>
    </xdr:from>
    <xdr:to>
      <xdr:col>16</xdr:col>
      <xdr:colOff>278005</xdr:colOff>
      <xdr:row>151</xdr:row>
      <xdr:rowOff>99350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D213817B-1E4D-4236-97FA-0C5A80597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69627" y="6634241"/>
          <a:ext cx="6238235" cy="9695709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35</xdr:row>
      <xdr:rowOff>0</xdr:rowOff>
    </xdr:from>
    <xdr:to>
      <xdr:col>24</xdr:col>
      <xdr:colOff>304800</xdr:colOff>
      <xdr:row>36</xdr:row>
      <xdr:rowOff>83820</xdr:rowOff>
    </xdr:to>
    <xdr:sp macro="" textlink="">
      <xdr:nvSpPr>
        <xdr:cNvPr id="2049" name="AutoShape 1">
          <a:extLst>
            <a:ext uri="{FF2B5EF4-FFF2-40B4-BE49-F238E27FC236}">
              <a16:creationId xmlns:a16="http://schemas.microsoft.com/office/drawing/2014/main" id="{9F254A92-3799-BDD7-D594-9DBA890B5F10}"/>
            </a:ext>
          </a:extLst>
        </xdr:cNvPr>
        <xdr:cNvSpPr>
          <a:spLocks noChangeAspect="1" noChangeArrowheads="1"/>
        </xdr:cNvSpPr>
      </xdr:nvSpPr>
      <xdr:spPr bwMode="auto">
        <a:xfrm>
          <a:off x="21777960" y="7452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24</xdr:col>
      <xdr:colOff>0</xdr:colOff>
      <xdr:row>35</xdr:row>
      <xdr:rowOff>0</xdr:rowOff>
    </xdr:from>
    <xdr:to>
      <xdr:col>24</xdr:col>
      <xdr:colOff>304800</xdr:colOff>
      <xdr:row>36</xdr:row>
      <xdr:rowOff>83820</xdr:rowOff>
    </xdr:to>
    <xdr:sp macro="" textlink="">
      <xdr:nvSpPr>
        <xdr:cNvPr id="2050" name="AutoShape 2">
          <a:extLst>
            <a:ext uri="{FF2B5EF4-FFF2-40B4-BE49-F238E27FC236}">
              <a16:creationId xmlns:a16="http://schemas.microsoft.com/office/drawing/2014/main" id="{600B7CFF-6633-4B85-378D-9B08D43BB87F}"/>
            </a:ext>
          </a:extLst>
        </xdr:cNvPr>
        <xdr:cNvSpPr>
          <a:spLocks noChangeAspect="1" noChangeArrowheads="1"/>
        </xdr:cNvSpPr>
      </xdr:nvSpPr>
      <xdr:spPr bwMode="auto">
        <a:xfrm>
          <a:off x="21777960" y="7452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23</xdr:col>
      <xdr:colOff>0</xdr:colOff>
      <xdr:row>28</xdr:row>
      <xdr:rowOff>0</xdr:rowOff>
    </xdr:from>
    <xdr:to>
      <xdr:col>23</xdr:col>
      <xdr:colOff>304800</xdr:colOff>
      <xdr:row>29</xdr:row>
      <xdr:rowOff>91440</xdr:rowOff>
    </xdr:to>
    <xdr:sp macro="" textlink="">
      <xdr:nvSpPr>
        <xdr:cNvPr id="2051" name="AutoShape 3">
          <a:extLst>
            <a:ext uri="{FF2B5EF4-FFF2-40B4-BE49-F238E27FC236}">
              <a16:creationId xmlns:a16="http://schemas.microsoft.com/office/drawing/2014/main" id="{13A1CADC-DE27-626B-0D81-56488D0EAC6A}"/>
            </a:ext>
          </a:extLst>
        </xdr:cNvPr>
        <xdr:cNvSpPr>
          <a:spLocks noChangeAspect="1" noChangeArrowheads="1"/>
        </xdr:cNvSpPr>
      </xdr:nvSpPr>
      <xdr:spPr bwMode="auto">
        <a:xfrm>
          <a:off x="21115020" y="5935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16</xdr:col>
      <xdr:colOff>751115</xdr:colOff>
      <xdr:row>28</xdr:row>
      <xdr:rowOff>119743</xdr:rowOff>
    </xdr:from>
    <xdr:to>
      <xdr:col>37</xdr:col>
      <xdr:colOff>356115</xdr:colOff>
      <xdr:row>64</xdr:row>
      <xdr:rowOff>22274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BB8E464-F321-45A9-0EA5-981C9B690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480972" y="6106886"/>
          <a:ext cx="14311600" cy="579170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560312</xdr:colOff>
      <xdr:row>38</xdr:row>
      <xdr:rowOff>113697</xdr:rowOff>
    </xdr:from>
    <xdr:to>
      <xdr:col>25</xdr:col>
      <xdr:colOff>82061</xdr:colOff>
      <xdr:row>159</xdr:row>
      <xdr:rowOff>1378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2111CBB4-4994-438E-B932-A633980FFD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90169" y="8277983"/>
          <a:ext cx="6221907" cy="96916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15CA1-E738-4C2E-889B-4BCAF9474CDA}">
  <sheetPr codeName="Sheet3">
    <pageSetUpPr fitToPage="1"/>
  </sheetPr>
  <dimension ref="A1:AF146"/>
  <sheetViews>
    <sheetView tabSelected="1" view="pageBreakPreview" topLeftCell="B28" zoomScale="70" zoomScaleNormal="100" zoomScaleSheetLayoutView="70" workbookViewId="0">
      <selection activeCell="I14" sqref="I14"/>
    </sheetView>
  </sheetViews>
  <sheetFormatPr defaultColWidth="9.6640625" defaultRowHeight="17.399999999999999"/>
  <cols>
    <col min="1" max="1" width="2.88671875" style="34" hidden="1" customWidth="1"/>
    <col min="2" max="2" width="7.33203125" style="34" customWidth="1"/>
    <col min="3" max="3" width="41.5546875" style="34" customWidth="1"/>
    <col min="4" max="4" width="10.109375" style="34" customWidth="1"/>
    <col min="5" max="5" width="11.44140625" style="80" customWidth="1"/>
    <col min="6" max="6" width="18.6640625" style="94" customWidth="1"/>
    <col min="7" max="7" width="15.109375" style="80" customWidth="1"/>
    <col min="8" max="8" width="5.44140625" style="34" customWidth="1"/>
    <col min="9" max="9" width="14.5546875" style="155" customWidth="1"/>
    <col min="10" max="10" width="6.109375" style="34" customWidth="1"/>
    <col min="11" max="11" width="9.6640625" style="34"/>
    <col min="12" max="12" width="32.6640625" style="34" customWidth="1"/>
    <col min="13" max="13" width="18.33203125" style="34" customWidth="1"/>
    <col min="14" max="14" width="16.88671875" style="129" customWidth="1"/>
    <col min="15" max="15" width="12.88671875" style="34" customWidth="1"/>
    <col min="16" max="16" width="8.44140625" style="34" bestFit="1" customWidth="1"/>
    <col min="17" max="17" width="12.109375" style="34" customWidth="1"/>
    <col min="18" max="18" width="12.6640625" style="34" customWidth="1"/>
    <col min="19" max="21" width="9.6640625" style="34"/>
    <col min="22" max="23" width="12.44140625" style="34" bestFit="1" customWidth="1"/>
    <col min="24" max="30" width="9.6640625" style="34"/>
    <col min="31" max="31" width="10" style="34" customWidth="1"/>
    <col min="32" max="16384" width="9.6640625" style="34"/>
  </cols>
  <sheetData>
    <row r="1" spans="2:25" ht="11.4" hidden="1" customHeight="1">
      <c r="B1" s="9"/>
      <c r="C1" s="9"/>
      <c r="D1" s="33"/>
      <c r="E1" s="32"/>
      <c r="F1" s="87"/>
      <c r="G1" s="32"/>
      <c r="H1" s="32"/>
      <c r="I1" s="150"/>
      <c r="J1" s="9"/>
      <c r="K1" s="9"/>
      <c r="L1" s="9"/>
      <c r="M1" s="9"/>
      <c r="N1" s="30"/>
      <c r="O1" s="9"/>
      <c r="P1" s="9"/>
      <c r="Q1" s="9"/>
      <c r="R1" s="9"/>
      <c r="S1" s="9"/>
      <c r="T1" s="9"/>
    </row>
    <row r="2" spans="2:25" ht="24.6">
      <c r="B2" s="114" t="s">
        <v>79</v>
      </c>
      <c r="C2" s="114"/>
      <c r="D2" s="114"/>
      <c r="E2" s="113"/>
      <c r="F2" s="114"/>
      <c r="G2" s="113"/>
      <c r="H2" s="114"/>
      <c r="I2" s="151"/>
      <c r="J2" s="114"/>
      <c r="K2" s="35"/>
      <c r="L2" s="8" t="s">
        <v>139</v>
      </c>
      <c r="M2" s="9"/>
      <c r="N2" s="124"/>
      <c r="O2" s="9"/>
      <c r="P2" s="9"/>
      <c r="Q2" s="9"/>
      <c r="R2" s="9"/>
      <c r="S2" s="9"/>
      <c r="T2" s="191">
        <f>O5+O6</f>
        <v>100</v>
      </c>
    </row>
    <row r="3" spans="2:25" ht="12" customHeight="1">
      <c r="B3" s="36"/>
      <c r="C3" s="36"/>
      <c r="D3" s="37"/>
      <c r="E3" s="38"/>
      <c r="F3" s="88"/>
      <c r="G3" s="38"/>
      <c r="H3" s="38"/>
      <c r="I3" s="152"/>
      <c r="J3" s="36"/>
      <c r="K3" s="35"/>
      <c r="L3" s="9"/>
      <c r="M3" s="9"/>
      <c r="N3" s="124"/>
      <c r="O3" s="9"/>
      <c r="P3" s="9"/>
      <c r="Q3" s="9"/>
      <c r="R3" s="10" t="s">
        <v>39</v>
      </c>
      <c r="S3" s="10" t="s">
        <v>39</v>
      </c>
      <c r="T3" s="192"/>
      <c r="X3" s="34">
        <v>0.5</v>
      </c>
    </row>
    <row r="4" spans="2:25" ht="22.95" customHeight="1">
      <c r="B4" s="40" t="s">
        <v>81</v>
      </c>
      <c r="C4" s="41"/>
      <c r="D4" s="42"/>
      <c r="E4" s="43"/>
      <c r="F4" s="91"/>
      <c r="G4" s="123" t="s">
        <v>0</v>
      </c>
      <c r="H4" s="43"/>
      <c r="I4" s="153"/>
      <c r="J4" s="44"/>
      <c r="K4" s="35"/>
      <c r="L4" s="11" t="s">
        <v>40</v>
      </c>
      <c r="M4" s="11" t="s">
        <v>41</v>
      </c>
      <c r="N4" s="125" t="s">
        <v>42</v>
      </c>
      <c r="O4" s="12" t="s">
        <v>43</v>
      </c>
      <c r="P4" s="11" t="s">
        <v>44</v>
      </c>
      <c r="Q4" s="11" t="s">
        <v>45</v>
      </c>
      <c r="R4" s="11" t="s">
        <v>46</v>
      </c>
      <c r="S4" s="11" t="s">
        <v>46</v>
      </c>
      <c r="T4" s="166" t="s">
        <v>47</v>
      </c>
      <c r="U4" s="105" t="s">
        <v>140</v>
      </c>
      <c r="V4" s="105" t="s">
        <v>141</v>
      </c>
      <c r="W4" s="105" t="s">
        <v>142</v>
      </c>
      <c r="X4" s="34">
        <v>950</v>
      </c>
    </row>
    <row r="5" spans="2:25">
      <c r="B5" s="35"/>
      <c r="C5" s="207" t="s">
        <v>128</v>
      </c>
      <c r="D5" s="207"/>
      <c r="E5" s="208" t="s">
        <v>1</v>
      </c>
      <c r="F5" s="209">
        <v>5</v>
      </c>
      <c r="G5" s="210" t="s">
        <v>80</v>
      </c>
      <c r="H5" s="35"/>
      <c r="I5" s="154"/>
      <c r="J5" s="35"/>
      <c r="K5" s="35"/>
      <c r="L5" s="13" t="s">
        <v>48</v>
      </c>
      <c r="M5" s="14" t="s">
        <v>49</v>
      </c>
      <c r="N5" s="15">
        <v>1.1000000000000001</v>
      </c>
      <c r="O5" s="13">
        <v>65</v>
      </c>
      <c r="P5" s="16">
        <f t="shared" ref="P5:P18" si="0">O5/$O$23</f>
        <v>0.17341040462427743</v>
      </c>
      <c r="Q5" s="17">
        <f>O5/N5</f>
        <v>59.090909090909086</v>
      </c>
      <c r="R5" s="18">
        <f t="shared" ref="R5:R17" si="1">Q5/$Q$22</f>
        <v>0.38410231885821927</v>
      </c>
      <c r="S5" s="18">
        <f t="shared" ref="S5:S18" si="2">Q5/$Q$23</f>
        <v>0.27759093682558117</v>
      </c>
      <c r="T5" s="167">
        <f>O5/$T$2*100</f>
        <v>65</v>
      </c>
      <c r="U5" s="170">
        <f>T5</f>
        <v>65</v>
      </c>
      <c r="V5" s="105"/>
      <c r="W5" s="105"/>
    </row>
    <row r="6" spans="2:25">
      <c r="B6" s="9"/>
      <c r="C6" s="195" t="s">
        <v>82</v>
      </c>
      <c r="D6" s="195"/>
      <c r="E6" s="173" t="s">
        <v>10</v>
      </c>
      <c r="F6" s="174">
        <f>N22*1000</f>
        <v>1461.8934255743825</v>
      </c>
      <c r="G6" s="173" t="s">
        <v>83</v>
      </c>
      <c r="H6" s="35"/>
      <c r="I6" s="154"/>
      <c r="J6" s="35"/>
      <c r="K6" s="35"/>
      <c r="L6" s="13" t="s">
        <v>50</v>
      </c>
      <c r="M6" s="14" t="s">
        <v>51</v>
      </c>
      <c r="N6" s="15">
        <v>1</v>
      </c>
      <c r="O6" s="13">
        <v>35</v>
      </c>
      <c r="P6" s="16">
        <f t="shared" si="0"/>
        <v>9.3374833259226311E-2</v>
      </c>
      <c r="Q6" s="17">
        <f>O6/N6</f>
        <v>35</v>
      </c>
      <c r="R6" s="18">
        <f t="shared" si="1"/>
        <v>0.22750675809294529</v>
      </c>
      <c r="S6" s="18">
        <f t="shared" si="2"/>
        <v>0.1644192471966904</v>
      </c>
      <c r="T6" s="167">
        <f t="shared" ref="T6:T18" si="3">O6/$T$2*100</f>
        <v>35</v>
      </c>
      <c r="U6" s="170">
        <f t="shared" ref="U6:U15" si="4">T6</f>
        <v>35</v>
      </c>
      <c r="V6" s="105"/>
      <c r="W6" s="105"/>
      <c r="Y6" s="34">
        <f>3.14*X3*X4/60</f>
        <v>24.858333333333334</v>
      </c>
    </row>
    <row r="7" spans="2:25">
      <c r="B7" s="9"/>
      <c r="C7" s="195" t="s">
        <v>84</v>
      </c>
      <c r="D7" s="195"/>
      <c r="E7" s="173"/>
      <c r="F7" s="85">
        <v>0.04</v>
      </c>
      <c r="G7" s="173" t="s">
        <v>85</v>
      </c>
      <c r="H7" s="35"/>
      <c r="I7" s="154"/>
      <c r="J7" s="35"/>
      <c r="K7" s="35"/>
      <c r="L7" s="13" t="s">
        <v>52</v>
      </c>
      <c r="M7" s="14" t="s">
        <v>53</v>
      </c>
      <c r="N7" s="15">
        <v>0.90600000000000003</v>
      </c>
      <c r="O7" s="13">
        <v>7</v>
      </c>
      <c r="P7" s="16">
        <f t="shared" si="0"/>
        <v>1.8674966651845263E-2</v>
      </c>
      <c r="Q7" s="17">
        <f>O7/N7</f>
        <v>7.7262693156732887</v>
      </c>
      <c r="R7" s="18">
        <f t="shared" si="1"/>
        <v>5.0222242404623682E-2</v>
      </c>
      <c r="S7" s="18">
        <f t="shared" si="2"/>
        <v>3.6295639557768301E-2</v>
      </c>
      <c r="T7" s="167">
        <f t="shared" si="3"/>
        <v>7.0000000000000009</v>
      </c>
      <c r="U7" s="170">
        <f t="shared" si="4"/>
        <v>7.0000000000000009</v>
      </c>
      <c r="V7" s="105"/>
      <c r="W7" s="105"/>
    </row>
    <row r="8" spans="2:25">
      <c r="B8" s="9"/>
      <c r="C8" s="195" t="s">
        <v>130</v>
      </c>
      <c r="D8" s="195"/>
      <c r="E8" s="173" t="s">
        <v>5</v>
      </c>
      <c r="F8" s="85">
        <v>1000</v>
      </c>
      <c r="G8" s="173" t="s">
        <v>85</v>
      </c>
      <c r="H8" s="35"/>
      <c r="I8" s="154"/>
      <c r="J8" s="35"/>
      <c r="K8" s="35"/>
      <c r="L8" s="19" t="s">
        <v>54</v>
      </c>
      <c r="M8" s="14" t="s">
        <v>55</v>
      </c>
      <c r="N8" s="15">
        <v>1.04</v>
      </c>
      <c r="O8" s="13">
        <v>1.2</v>
      </c>
      <c r="P8" s="16">
        <f t="shared" si="0"/>
        <v>3.2014228546020447E-3</v>
      </c>
      <c r="Q8" s="17">
        <f t="shared" ref="Q8:Q18" si="5">O8/N8</f>
        <v>1.1538461538461537</v>
      </c>
      <c r="R8" s="18">
        <f t="shared" si="1"/>
        <v>7.5002227942729208E-3</v>
      </c>
      <c r="S8" s="18">
        <f t="shared" si="2"/>
        <v>5.4204147427480351E-3</v>
      </c>
      <c r="T8" s="167">
        <f t="shared" si="3"/>
        <v>1.2</v>
      </c>
      <c r="U8" s="170">
        <f t="shared" si="4"/>
        <v>1.2</v>
      </c>
      <c r="V8" s="105"/>
      <c r="W8" s="105"/>
    </row>
    <row r="9" spans="2:25" ht="16.95" customHeight="1">
      <c r="B9" s="9"/>
      <c r="C9" s="201" t="s">
        <v>134</v>
      </c>
      <c r="D9" s="202"/>
      <c r="E9" s="203"/>
      <c r="F9" s="204">
        <v>4000</v>
      </c>
      <c r="G9" s="205" t="s">
        <v>86</v>
      </c>
      <c r="H9" s="9"/>
      <c r="I9" s="150"/>
      <c r="J9" s="9"/>
      <c r="K9" s="35"/>
      <c r="L9" s="13" t="s">
        <v>56</v>
      </c>
      <c r="M9" s="14" t="s">
        <v>57</v>
      </c>
      <c r="N9" s="15">
        <v>1.095</v>
      </c>
      <c r="O9" s="13">
        <v>4</v>
      </c>
      <c r="P9" s="16">
        <f t="shared" si="0"/>
        <v>1.0671409515340151E-2</v>
      </c>
      <c r="Q9" s="17">
        <f t="shared" si="5"/>
        <v>3.6529680365296806</v>
      </c>
      <c r="R9" s="18">
        <f t="shared" si="1"/>
        <v>2.3744997583086267E-2</v>
      </c>
      <c r="S9" s="18">
        <f t="shared" si="2"/>
        <v>1.7160521559993782E-2</v>
      </c>
      <c r="T9" s="167">
        <f t="shared" si="3"/>
        <v>4</v>
      </c>
      <c r="U9" s="170">
        <f t="shared" si="4"/>
        <v>4</v>
      </c>
      <c r="V9" s="105"/>
      <c r="W9" s="105"/>
    </row>
    <row r="10" spans="2:25">
      <c r="B10" s="9"/>
      <c r="C10" s="201" t="s">
        <v>87</v>
      </c>
      <c r="D10" s="202"/>
      <c r="E10" s="203"/>
      <c r="F10" s="206">
        <v>0.4</v>
      </c>
      <c r="G10" s="205"/>
      <c r="H10" s="35"/>
      <c r="I10" s="154"/>
      <c r="J10" s="35"/>
      <c r="K10" s="35"/>
      <c r="L10" s="19" t="s">
        <v>58</v>
      </c>
      <c r="M10" s="14" t="s">
        <v>59</v>
      </c>
      <c r="N10" s="15">
        <v>2.0499999999999998</v>
      </c>
      <c r="O10" s="13">
        <v>4</v>
      </c>
      <c r="P10" s="16">
        <f t="shared" si="0"/>
        <v>1.0671409515340151E-2</v>
      </c>
      <c r="Q10" s="17">
        <f t="shared" si="5"/>
        <v>1.9512195121951221</v>
      </c>
      <c r="R10" s="18">
        <f t="shared" si="1"/>
        <v>1.2683303587063153E-2</v>
      </c>
      <c r="S10" s="18">
        <f t="shared" si="2"/>
        <v>9.1662298088747273E-3</v>
      </c>
      <c r="T10" s="167">
        <f t="shared" si="3"/>
        <v>4</v>
      </c>
      <c r="U10" s="170"/>
      <c r="V10" s="170">
        <f>T10</f>
        <v>4</v>
      </c>
      <c r="W10" s="105"/>
    </row>
    <row r="11" spans="2:25">
      <c r="B11" s="9"/>
      <c r="C11" s="199" t="s">
        <v>6</v>
      </c>
      <c r="D11" s="200"/>
      <c r="E11" s="173" t="s">
        <v>7</v>
      </c>
      <c r="F11" s="171">
        <v>2.5</v>
      </c>
      <c r="G11" s="175" t="s">
        <v>129</v>
      </c>
      <c r="H11" s="9"/>
      <c r="I11" s="150"/>
      <c r="J11" s="35"/>
      <c r="K11" s="35"/>
      <c r="L11" s="13" t="s">
        <v>60</v>
      </c>
      <c r="M11" s="14" t="s">
        <v>61</v>
      </c>
      <c r="N11" s="15">
        <v>1.2</v>
      </c>
      <c r="O11" s="13"/>
      <c r="P11" s="16">
        <f t="shared" si="0"/>
        <v>0</v>
      </c>
      <c r="Q11" s="17">
        <f t="shared" si="5"/>
        <v>0</v>
      </c>
      <c r="R11" s="18">
        <f t="shared" si="1"/>
        <v>0</v>
      </c>
      <c r="S11" s="18">
        <f t="shared" si="2"/>
        <v>0</v>
      </c>
      <c r="T11" s="167">
        <f t="shared" si="3"/>
        <v>0</v>
      </c>
      <c r="U11" s="170">
        <f t="shared" si="4"/>
        <v>0</v>
      </c>
      <c r="V11" s="105"/>
      <c r="W11" s="105"/>
    </row>
    <row r="12" spans="2:25">
      <c r="B12" s="9"/>
      <c r="C12" s="199" t="s">
        <v>8</v>
      </c>
      <c r="D12" s="200"/>
      <c r="E12" s="173" t="s">
        <v>9</v>
      </c>
      <c r="F12" s="122">
        <v>9000</v>
      </c>
      <c r="G12" s="176" t="s">
        <v>131</v>
      </c>
      <c r="H12" s="9"/>
      <c r="I12" s="150"/>
      <c r="J12" s="35"/>
      <c r="K12" s="35"/>
      <c r="L12" s="19" t="s">
        <v>62</v>
      </c>
      <c r="M12" s="14" t="s">
        <v>63</v>
      </c>
      <c r="N12" s="15">
        <v>0.95799999999999996</v>
      </c>
      <c r="O12" s="13">
        <v>4</v>
      </c>
      <c r="P12" s="16">
        <f t="shared" si="0"/>
        <v>1.0671409515340151E-2</v>
      </c>
      <c r="Q12" s="17">
        <f t="shared" si="5"/>
        <v>4.1753653444676413</v>
      </c>
      <c r="R12" s="18">
        <f t="shared" si="1"/>
        <v>2.7140680953527622E-2</v>
      </c>
      <c r="S12" s="18">
        <f t="shared" si="2"/>
        <v>1.9614583620243414E-2</v>
      </c>
      <c r="T12" s="167">
        <f t="shared" si="3"/>
        <v>4</v>
      </c>
      <c r="U12" s="170">
        <f t="shared" si="4"/>
        <v>4</v>
      </c>
      <c r="V12" s="105"/>
      <c r="W12" s="105"/>
    </row>
    <row r="13" spans="2:25">
      <c r="B13" s="9"/>
      <c r="C13" s="199" t="s">
        <v>11</v>
      </c>
      <c r="D13" s="200"/>
      <c r="E13" s="173" t="s">
        <v>12</v>
      </c>
      <c r="F13" s="122">
        <v>50</v>
      </c>
      <c r="G13" s="175" t="s">
        <v>129</v>
      </c>
      <c r="H13" s="9"/>
      <c r="I13" s="150"/>
      <c r="J13" s="35"/>
      <c r="K13" s="35"/>
      <c r="L13" s="13" t="s">
        <v>64</v>
      </c>
      <c r="M13" s="14" t="s">
        <v>65</v>
      </c>
      <c r="N13" s="15">
        <v>1.2</v>
      </c>
      <c r="O13" s="13">
        <v>0.4</v>
      </c>
      <c r="P13" s="16">
        <f t="shared" si="0"/>
        <v>1.0671409515340151E-3</v>
      </c>
      <c r="Q13" s="17">
        <f t="shared" si="5"/>
        <v>0.33333333333333337</v>
      </c>
      <c r="R13" s="18">
        <f t="shared" si="1"/>
        <v>2.1667310294566219E-3</v>
      </c>
      <c r="S13" s="18">
        <f t="shared" si="2"/>
        <v>1.5658975923494326E-3</v>
      </c>
      <c r="T13" s="167">
        <f t="shared" si="3"/>
        <v>0.4</v>
      </c>
      <c r="U13" s="170">
        <f t="shared" si="4"/>
        <v>0.4</v>
      </c>
      <c r="V13" s="105"/>
      <c r="W13" s="105"/>
    </row>
    <row r="14" spans="2:25" ht="16.95" customHeight="1">
      <c r="K14" s="35"/>
      <c r="L14" s="13" t="s">
        <v>66</v>
      </c>
      <c r="M14" s="14" t="s">
        <v>67</v>
      </c>
      <c r="N14" s="15">
        <v>1.0149999999999999</v>
      </c>
      <c r="O14" s="13">
        <v>1</v>
      </c>
      <c r="P14" s="16">
        <f t="shared" si="0"/>
        <v>2.6678523788350376E-3</v>
      </c>
      <c r="Q14" s="17">
        <f t="shared" si="5"/>
        <v>0.98522167487684742</v>
      </c>
      <c r="R14" s="18">
        <f t="shared" si="1"/>
        <v>6.4041311215466664E-3</v>
      </c>
      <c r="S14" s="18">
        <f t="shared" si="2"/>
        <v>4.6282687458603922E-3</v>
      </c>
      <c r="T14" s="167">
        <f t="shared" si="3"/>
        <v>1</v>
      </c>
      <c r="U14" s="170">
        <f t="shared" si="4"/>
        <v>1</v>
      </c>
      <c r="V14" s="105"/>
      <c r="W14" s="105"/>
    </row>
    <row r="15" spans="2:25" ht="16.95" customHeight="1">
      <c r="B15" s="35"/>
      <c r="C15" s="35"/>
      <c r="D15" s="35"/>
      <c r="E15" s="35"/>
      <c r="F15" s="35"/>
      <c r="G15" s="35"/>
      <c r="H15" s="35"/>
      <c r="I15" s="154"/>
      <c r="J15" s="35"/>
      <c r="K15" s="35"/>
      <c r="L15" s="13" t="s">
        <v>68</v>
      </c>
      <c r="M15" s="14" t="s">
        <v>69</v>
      </c>
      <c r="N15" s="15">
        <v>1.0349999999999999</v>
      </c>
      <c r="O15" s="13">
        <v>1</v>
      </c>
      <c r="P15" s="16">
        <f t="shared" si="0"/>
        <v>2.6678523788350376E-3</v>
      </c>
      <c r="Q15" s="17">
        <f t="shared" si="5"/>
        <v>0.96618357487922713</v>
      </c>
      <c r="R15" s="18">
        <f t="shared" si="1"/>
        <v>6.2803797955264407E-3</v>
      </c>
      <c r="S15" s="18">
        <f t="shared" si="2"/>
        <v>4.5388336010128479E-3</v>
      </c>
      <c r="T15" s="167">
        <f t="shared" si="3"/>
        <v>1</v>
      </c>
      <c r="U15" s="170">
        <f t="shared" si="4"/>
        <v>1</v>
      </c>
      <c r="V15" s="105"/>
      <c r="W15" s="105"/>
    </row>
    <row r="16" spans="2:25" ht="16.95" customHeight="1">
      <c r="B16" s="35"/>
      <c r="C16" s="186" t="s">
        <v>14</v>
      </c>
      <c r="D16" s="187"/>
      <c r="E16" s="6" t="s">
        <v>1</v>
      </c>
      <c r="F16" s="93">
        <f>F5/60</f>
        <v>8.3333333333333329E-2</v>
      </c>
      <c r="G16" s="82" t="s">
        <v>132</v>
      </c>
      <c r="J16" s="35"/>
      <c r="K16" s="35"/>
      <c r="L16" s="13" t="s">
        <v>70</v>
      </c>
      <c r="M16" s="14" t="s">
        <v>71</v>
      </c>
      <c r="N16" s="15">
        <v>2.7</v>
      </c>
      <c r="O16" s="13">
        <v>100</v>
      </c>
      <c r="P16" s="16">
        <f t="shared" si="0"/>
        <v>0.26678523788350378</v>
      </c>
      <c r="Q16" s="17">
        <f t="shared" si="5"/>
        <v>37.037037037037038</v>
      </c>
      <c r="R16" s="18">
        <f t="shared" si="1"/>
        <v>0.24074789216184686</v>
      </c>
      <c r="S16" s="18">
        <f t="shared" si="2"/>
        <v>0.17398862137215917</v>
      </c>
      <c r="T16" s="167">
        <f t="shared" si="3"/>
        <v>100</v>
      </c>
      <c r="U16" s="170">
        <f>T16</f>
        <v>100</v>
      </c>
      <c r="V16" s="105"/>
      <c r="W16" s="105"/>
    </row>
    <row r="17" spans="1:24" ht="16.95" customHeight="1">
      <c r="B17" s="9"/>
      <c r="C17" s="179" t="s">
        <v>15</v>
      </c>
      <c r="D17" s="180"/>
      <c r="E17" s="131"/>
      <c r="F17" s="93">
        <f>F69/1000</f>
        <v>2.4010901627811313E-3</v>
      </c>
      <c r="G17" s="6" t="s">
        <v>16</v>
      </c>
      <c r="J17" s="35"/>
      <c r="K17" s="35"/>
      <c r="L17" s="13" t="s">
        <v>72</v>
      </c>
      <c r="M17" s="20" t="s">
        <v>73</v>
      </c>
      <c r="N17" s="15">
        <v>1.3</v>
      </c>
      <c r="O17" s="13">
        <v>2.2999999999999998</v>
      </c>
      <c r="P17" s="16">
        <f t="shared" si="0"/>
        <v>6.1360604713205855E-3</v>
      </c>
      <c r="Q17" s="17">
        <f t="shared" si="5"/>
        <v>1.7692307692307689</v>
      </c>
      <c r="R17" s="18">
        <f t="shared" si="1"/>
        <v>1.1500341617885145E-2</v>
      </c>
      <c r="S17" s="18">
        <f t="shared" si="2"/>
        <v>8.3113026055469871E-3</v>
      </c>
      <c r="T17" s="167">
        <f t="shared" si="3"/>
        <v>2.2999999999999998</v>
      </c>
      <c r="U17" s="170"/>
      <c r="V17" s="105"/>
      <c r="W17" s="170">
        <f>T17</f>
        <v>2.2999999999999998</v>
      </c>
    </row>
    <row r="18" spans="1:24" ht="16.95" customHeight="1">
      <c r="A18" s="9"/>
      <c r="B18" s="9"/>
      <c r="C18" s="186" t="s">
        <v>17</v>
      </c>
      <c r="D18" s="187"/>
      <c r="E18" s="82" t="s">
        <v>5</v>
      </c>
      <c r="F18" s="93">
        <f>F8/1000</f>
        <v>1</v>
      </c>
      <c r="G18" s="82" t="s">
        <v>133</v>
      </c>
      <c r="I18" s="150"/>
      <c r="J18" s="35"/>
      <c r="K18" s="35"/>
      <c r="L18" s="13" t="s">
        <v>74</v>
      </c>
      <c r="M18" s="13" t="s">
        <v>75</v>
      </c>
      <c r="N18" s="15">
        <v>2.54</v>
      </c>
      <c r="O18" s="21">
        <f>R26</f>
        <v>149.93333333333337</v>
      </c>
      <c r="P18" s="16">
        <f t="shared" si="0"/>
        <v>0.4</v>
      </c>
      <c r="Q18" s="17">
        <f t="shared" si="5"/>
        <v>59.02887139107613</v>
      </c>
      <c r="R18" s="18"/>
      <c r="S18" s="18">
        <f t="shared" si="2"/>
        <v>0.27729950277117121</v>
      </c>
      <c r="T18" s="167">
        <f t="shared" si="3"/>
        <v>149.93333333333337</v>
      </c>
      <c r="U18" s="105"/>
      <c r="V18" s="105"/>
      <c r="W18" s="105"/>
    </row>
    <row r="19" spans="1:24" ht="16.95" customHeight="1">
      <c r="A19" s="9"/>
      <c r="B19" s="9"/>
      <c r="C19" s="186" t="s">
        <v>18</v>
      </c>
      <c r="D19" s="187"/>
      <c r="E19" s="22" t="s">
        <v>7</v>
      </c>
      <c r="F19" s="93">
        <f>F11/1000</f>
        <v>2.5000000000000001E-3</v>
      </c>
      <c r="G19" s="82" t="s">
        <v>133</v>
      </c>
      <c r="H19" s="9"/>
      <c r="I19" s="150"/>
      <c r="J19" s="35"/>
      <c r="K19" s="35"/>
      <c r="L19" s="140"/>
      <c r="M19" s="140"/>
      <c r="N19" s="141"/>
      <c r="O19" s="142"/>
      <c r="P19" s="143"/>
      <c r="Q19" s="31"/>
      <c r="R19" s="144"/>
      <c r="S19" s="144"/>
      <c r="T19" s="31"/>
      <c r="U19" s="31"/>
      <c r="V19" s="31"/>
      <c r="W19" s="31"/>
    </row>
    <row r="20" spans="1:24" ht="16.95" customHeight="1">
      <c r="A20" s="9"/>
      <c r="B20" s="9"/>
      <c r="C20" s="186" t="s">
        <v>19</v>
      </c>
      <c r="D20" s="187"/>
      <c r="E20" s="82"/>
      <c r="F20" s="86">
        <f>F12/1000</f>
        <v>9</v>
      </c>
      <c r="G20" s="82" t="s">
        <v>20</v>
      </c>
      <c r="J20" s="35"/>
      <c r="K20" s="35"/>
      <c r="L20" s="9"/>
      <c r="M20" s="9"/>
      <c r="N20" s="30"/>
      <c r="O20" s="9"/>
      <c r="P20" s="9"/>
      <c r="Q20" s="9"/>
      <c r="R20" s="9"/>
      <c r="S20" s="9"/>
      <c r="T20" s="9"/>
      <c r="U20" s="9"/>
      <c r="V20" s="9"/>
      <c r="W20" s="9"/>
    </row>
    <row r="21" spans="1:24" ht="16.95" customHeight="1">
      <c r="A21" s="9"/>
      <c r="B21" s="9"/>
      <c r="C21" s="186" t="s">
        <v>21</v>
      </c>
      <c r="D21" s="187"/>
      <c r="E21" s="82"/>
      <c r="F21" s="93">
        <f>F13/1000</f>
        <v>0.05</v>
      </c>
      <c r="G21" s="82" t="s">
        <v>133</v>
      </c>
      <c r="J21" s="35"/>
      <c r="K21" s="35"/>
      <c r="L21" s="9"/>
      <c r="M21" s="9"/>
      <c r="N21" s="30"/>
      <c r="O21" s="9"/>
      <c r="P21" s="9"/>
      <c r="Q21" s="9"/>
      <c r="R21" s="9"/>
      <c r="S21" s="9"/>
      <c r="T21" s="9"/>
      <c r="U21" s="177">
        <f>U22/(U22+V22+W22)</f>
        <v>0.97198755002223203</v>
      </c>
      <c r="V21" s="178">
        <f>V22/(U22+V22+W22)</f>
        <v>1.7785682525566917E-2</v>
      </c>
      <c r="W21" s="178">
        <f>W22/(U22+V22+W22)</f>
        <v>1.0226767452200976E-2</v>
      </c>
    </row>
    <row r="22" spans="1:24" ht="16.95" customHeight="1">
      <c r="A22" s="35"/>
      <c r="B22" s="9"/>
      <c r="C22" s="139" t="s">
        <v>22</v>
      </c>
      <c r="D22" s="196" t="s">
        <v>23</v>
      </c>
      <c r="E22" s="196"/>
      <c r="F22" s="86">
        <f>F6*9.81*F21</f>
        <v>717.05872524423467</v>
      </c>
      <c r="G22" s="82" t="s">
        <v>24</v>
      </c>
      <c r="H22" s="134" t="s">
        <v>25</v>
      </c>
      <c r="J22" s="35"/>
      <c r="K22" s="35"/>
      <c r="L22" s="22" t="s">
        <v>76</v>
      </c>
      <c r="M22" s="22"/>
      <c r="N22" s="126">
        <f>N5*R5+N6*R6+N7*R7+N8*R8+N9*R9+N10*R10+N11*R11+N12*R12+N13*R13+N14*R14+N15*R15+N16*R16+N17*R17</f>
        <v>1.4618934255743825</v>
      </c>
      <c r="O22" s="23">
        <f>SUM(O5:O17)</f>
        <v>224.90000000000003</v>
      </c>
      <c r="P22" s="16">
        <f>O22/$O$23</f>
        <v>0.6</v>
      </c>
      <c r="Q22" s="17">
        <f>SUM(Q5:Q17)</f>
        <v>153.8415838429782</v>
      </c>
      <c r="R22" s="18">
        <f>Q22/$Q$22</f>
        <v>1</v>
      </c>
      <c r="S22" s="18"/>
      <c r="T22" s="167">
        <f>O22/$T$2*100</f>
        <v>224.90000000000006</v>
      </c>
      <c r="U22" s="105">
        <f>SUM(U5:U18)</f>
        <v>218.60000000000002</v>
      </c>
      <c r="V22" s="105">
        <f>SUM(V5:V18)</f>
        <v>4</v>
      </c>
      <c r="W22" s="105">
        <f t="shared" ref="W22" si="6">SUM(W5:W18)</f>
        <v>2.2999999999999998</v>
      </c>
    </row>
    <row r="23" spans="1:24" ht="16.95" customHeight="1">
      <c r="A23" s="49"/>
      <c r="B23" s="9"/>
      <c r="C23" s="39"/>
      <c r="D23" s="80"/>
      <c r="F23" s="145"/>
      <c r="J23" s="35"/>
      <c r="K23" s="35"/>
      <c r="L23" s="22" t="s">
        <v>77</v>
      </c>
      <c r="M23" s="22"/>
      <c r="N23" s="127">
        <f>N5*S5+N6*S6+N7*S7+N8*S8+N9*S9+N10*S10+N11*S11+N12*S12+N13*S13+N14*S14+N15*S15+N16*S16+N17*S17+N18*S18</f>
        <v>1.7608518425969371</v>
      </c>
      <c r="O23" s="24">
        <f>SUM(O5:O18)</f>
        <v>374.83333333333337</v>
      </c>
      <c r="P23" s="25">
        <f>O23/$O$23</f>
        <v>1</v>
      </c>
      <c r="Q23" s="26">
        <f>SUM(Q5:Q18)</f>
        <v>212.87045523405433</v>
      </c>
      <c r="R23" s="10"/>
      <c r="S23" s="27">
        <f>SUM(S5:S18)</f>
        <v>0.99999999999999989</v>
      </c>
      <c r="T23" s="26">
        <f>SUM(T5:T18)</f>
        <v>374.83333333333337</v>
      </c>
    </row>
    <row r="24" spans="1:24" ht="16.95" customHeight="1">
      <c r="A24" s="49"/>
      <c r="B24" s="9"/>
      <c r="C24" s="2" t="s">
        <v>26</v>
      </c>
      <c r="D24" s="181" t="s">
        <v>27</v>
      </c>
      <c r="E24" s="182"/>
      <c r="F24" s="128" t="s">
        <v>13</v>
      </c>
      <c r="G24" s="7" t="s">
        <v>0</v>
      </c>
      <c r="J24" s="35"/>
      <c r="K24" s="35"/>
      <c r="L24" s="9"/>
      <c r="M24" s="9"/>
      <c r="N24" s="30"/>
      <c r="O24" s="9"/>
      <c r="P24" s="9"/>
      <c r="Q24" s="9"/>
      <c r="R24" s="9"/>
      <c r="S24" s="9"/>
      <c r="T24" s="9"/>
    </row>
    <row r="25" spans="1:24" ht="16.95" customHeight="1">
      <c r="A25" s="49"/>
      <c r="B25" s="9"/>
      <c r="C25" s="3" t="s">
        <v>28</v>
      </c>
      <c r="D25" s="193" t="s">
        <v>29</v>
      </c>
      <c r="E25" s="194"/>
      <c r="F25" s="132">
        <f>(F16*F17)/2</f>
        <v>1.000454234492138E-4</v>
      </c>
      <c r="G25" s="6" t="s">
        <v>30</v>
      </c>
      <c r="I25" s="156"/>
      <c r="J25" s="35"/>
      <c r="K25" s="35"/>
      <c r="L25" s="9"/>
      <c r="M25" s="9"/>
      <c r="N25" s="30"/>
      <c r="O25" s="9"/>
      <c r="P25" s="10" t="s">
        <v>78</v>
      </c>
      <c r="Q25" s="28">
        <f>100%-F10</f>
        <v>0.6</v>
      </c>
      <c r="R25" s="29">
        <f>O22</f>
        <v>224.90000000000003</v>
      </c>
      <c r="S25" s="9"/>
      <c r="T25" s="168" t="s">
        <v>143</v>
      </c>
      <c r="U25" s="105" t="s">
        <v>143</v>
      </c>
      <c r="V25" s="105" t="s">
        <v>141</v>
      </c>
      <c r="W25" s="105" t="s">
        <v>142</v>
      </c>
    </row>
    <row r="26" spans="1:24" ht="16.95" customHeight="1">
      <c r="A26" s="49"/>
      <c r="B26" s="9"/>
      <c r="C26" s="3" t="s">
        <v>31</v>
      </c>
      <c r="D26" s="163" t="s">
        <v>32</v>
      </c>
      <c r="E26" s="163"/>
      <c r="F26" s="132">
        <f>((F17^3)/(12*F20*F19))*F22</f>
        <v>3.6763458948049663E-5</v>
      </c>
      <c r="G26" s="6" t="s">
        <v>30</v>
      </c>
      <c r="I26" s="156"/>
      <c r="J26" s="35"/>
      <c r="K26" s="35"/>
      <c r="L26" s="9"/>
      <c r="M26" s="9"/>
      <c r="N26" s="30"/>
      <c r="O26" s="9"/>
      <c r="P26" s="10" t="s">
        <v>135</v>
      </c>
      <c r="Q26" s="28">
        <f>1-Q25</f>
        <v>0.4</v>
      </c>
      <c r="R26" s="17">
        <f>Q26*R25/Q25</f>
        <v>149.93333333333337</v>
      </c>
      <c r="S26" s="9"/>
      <c r="T26" s="168" t="s">
        <v>144</v>
      </c>
      <c r="U26" s="105"/>
      <c r="V26" s="168" t="s">
        <v>145</v>
      </c>
      <c r="W26" s="168" t="s">
        <v>145</v>
      </c>
    </row>
    <row r="27" spans="1:24" ht="16.95" customHeight="1">
      <c r="A27" s="49"/>
      <c r="B27" s="9"/>
      <c r="C27" s="3" t="s">
        <v>33</v>
      </c>
      <c r="D27" s="193" t="s">
        <v>34</v>
      </c>
      <c r="E27" s="194"/>
      <c r="F27" s="132">
        <f>(F25+F26)*F18</f>
        <v>1.3680888239726347E-4</v>
      </c>
      <c r="G27" s="6" t="s">
        <v>35</v>
      </c>
      <c r="H27" s="134"/>
      <c r="I27" s="156"/>
      <c r="J27" s="35"/>
      <c r="K27" s="35"/>
      <c r="L27" s="9"/>
      <c r="M27" s="9"/>
      <c r="N27" s="30"/>
      <c r="O27" s="9"/>
      <c r="P27" s="9"/>
      <c r="Q27" s="109"/>
      <c r="R27" s="31"/>
      <c r="S27" s="9"/>
      <c r="T27" s="169">
        <v>20</v>
      </c>
      <c r="U27" s="170">
        <f>$T$27*U22/T22</f>
        <v>19.439751000444637</v>
      </c>
      <c r="V27" s="170">
        <f>T27*V22/T22*1000</f>
        <v>355.7136505113383</v>
      </c>
      <c r="W27" s="170">
        <f>T27*W22/T22*1000</f>
        <v>204.53534904401951</v>
      </c>
    </row>
    <row r="28" spans="1:24" ht="16.95" customHeight="1">
      <c r="A28" s="49"/>
      <c r="B28" s="9"/>
      <c r="C28" s="3" t="s">
        <v>36</v>
      </c>
      <c r="D28" s="193" t="s">
        <v>37</v>
      </c>
      <c r="E28" s="194"/>
      <c r="F28" s="132">
        <f>F27*60000</f>
        <v>8.2085329438358077</v>
      </c>
      <c r="G28" s="6" t="s">
        <v>38</v>
      </c>
      <c r="H28" s="134"/>
      <c r="I28" s="156"/>
      <c r="J28" s="35"/>
      <c r="K28" s="35"/>
      <c r="L28" s="9"/>
      <c r="M28" s="9"/>
      <c r="N28" s="30"/>
      <c r="O28" s="9"/>
      <c r="P28" s="9"/>
      <c r="Q28" s="109"/>
      <c r="R28" s="31"/>
      <c r="S28" s="9"/>
      <c r="T28" s="9"/>
      <c r="U28" s="9"/>
      <c r="V28" s="9"/>
      <c r="W28" s="9"/>
      <c r="X28" s="9"/>
    </row>
    <row r="29" spans="1:24" ht="16.95" customHeight="1">
      <c r="A29" s="49"/>
      <c r="B29" s="9"/>
      <c r="D29" s="164"/>
      <c r="E29" s="165"/>
      <c r="H29" s="134"/>
      <c r="I29" s="156"/>
      <c r="J29" s="35"/>
      <c r="K29" s="35"/>
      <c r="L29" s="9"/>
      <c r="M29" s="9"/>
      <c r="N29" s="30"/>
      <c r="O29" s="9"/>
      <c r="P29" s="9"/>
      <c r="Q29" s="109"/>
      <c r="R29" s="31"/>
      <c r="S29" s="9"/>
      <c r="T29" s="9"/>
      <c r="X29"/>
    </row>
    <row r="30" spans="1:24" ht="16.95" customHeight="1">
      <c r="A30" s="49"/>
      <c r="B30" s="9"/>
      <c r="C30" s="48" t="str">
        <f>"SMC Paste/(1Mx"&amp;F8/1000&amp;"M)"</f>
        <v>SMC Paste/(1Mx1M)</v>
      </c>
      <c r="D30" s="112"/>
      <c r="E30" s="110"/>
      <c r="F30" s="86">
        <f>F28*F6/F5</f>
        <v>2400.00006884086</v>
      </c>
      <c r="G30" s="82" t="s">
        <v>136</v>
      </c>
      <c r="H30" s="108"/>
      <c r="J30" s="35"/>
      <c r="K30" s="35"/>
      <c r="L30" s="9"/>
      <c r="M30" s="9"/>
      <c r="N30" s="30"/>
      <c r="O30" s="9"/>
      <c r="P30" s="9"/>
      <c r="Q30" s="9"/>
      <c r="R30" s="9"/>
      <c r="S30" s="9"/>
      <c r="T30" s="9"/>
    </row>
    <row r="31" spans="1:24" ht="16.95" customHeight="1">
      <c r="A31" s="49"/>
      <c r="B31" s="9"/>
      <c r="C31" s="48" t="str">
        <f>"Glass Weight/(1Mx"&amp;F8/1000&amp;"M)"</f>
        <v>Glass Weight/(1Mx1M)</v>
      </c>
      <c r="D31" s="112"/>
      <c r="E31" s="110"/>
      <c r="F31" s="86">
        <f>F30*F10/(1-F10)</f>
        <v>1600.0000458939069</v>
      </c>
      <c r="G31" s="82" t="s">
        <v>136</v>
      </c>
      <c r="H31" s="108"/>
      <c r="J31" s="35"/>
      <c r="K31" s="35"/>
      <c r="L31" s="9"/>
      <c r="M31" s="9"/>
      <c r="N31" s="30"/>
      <c r="O31" s="9"/>
      <c r="P31" s="9"/>
      <c r="Q31" s="9"/>
      <c r="R31" s="9"/>
      <c r="S31" s="9"/>
      <c r="T31" s="9"/>
    </row>
    <row r="32" spans="1:24" ht="16.95" customHeight="1">
      <c r="A32" s="49"/>
      <c r="B32" s="9"/>
      <c r="C32" s="48" t="str">
        <f>"SMC Weight/(1Mx"&amp;F8/1000&amp;"M)"</f>
        <v>SMC Weight/(1Mx1M)</v>
      </c>
      <c r="D32" s="112"/>
      <c r="E32" s="110"/>
      <c r="F32" s="86">
        <f>F30+F31</f>
        <v>4000.0001147347666</v>
      </c>
      <c r="G32" s="82" t="s">
        <v>136</v>
      </c>
      <c r="H32" s="108"/>
      <c r="J32" s="35"/>
      <c r="K32" s="35"/>
      <c r="L32" s="9"/>
      <c r="M32" s="9"/>
      <c r="N32" s="124"/>
      <c r="O32" s="9"/>
      <c r="S32" s="30"/>
      <c r="T32" s="9"/>
    </row>
    <row r="33" spans="1:25">
      <c r="A33" s="49"/>
      <c r="B33" s="9"/>
      <c r="C33" s="1"/>
      <c r="D33" s="106"/>
      <c r="E33" s="5"/>
      <c r="F33" s="107"/>
      <c r="G33" s="5"/>
      <c r="H33" s="108"/>
      <c r="J33" s="35"/>
      <c r="K33" s="35"/>
      <c r="R33" s="31"/>
      <c r="S33" s="31"/>
      <c r="T33" s="9"/>
    </row>
    <row r="34" spans="1:25">
      <c r="A34" s="49"/>
      <c r="B34" s="9"/>
      <c r="C34" s="48" t="str">
        <f>"SMC Paste/(1MxM) Conversion"</f>
        <v>SMC Paste/(1MxM) Conversion</v>
      </c>
      <c r="D34" s="112"/>
      <c r="E34" s="81"/>
      <c r="F34" s="84">
        <f>F30*1000/F8</f>
        <v>2400.00006884086</v>
      </c>
      <c r="G34" s="82" t="s">
        <v>136</v>
      </c>
      <c r="H34" s="108"/>
      <c r="J34" s="9"/>
      <c r="K34" s="35"/>
      <c r="R34" s="31"/>
      <c r="S34" s="31"/>
      <c r="T34" s="9"/>
    </row>
    <row r="35" spans="1:25">
      <c r="A35" s="49"/>
      <c r="B35" s="9"/>
      <c r="C35" s="48" t="str">
        <f>"Glass Weight/(1Mx1M) Conversion"</f>
        <v>Glass Weight/(1Mx1M) Conversion</v>
      </c>
      <c r="D35" s="112"/>
      <c r="E35" s="81"/>
      <c r="F35" s="83">
        <f>F31*1000/F8</f>
        <v>1600.0000458939069</v>
      </c>
      <c r="G35" s="82" t="s">
        <v>136</v>
      </c>
      <c r="H35" s="108"/>
      <c r="J35" s="9"/>
      <c r="K35" s="35"/>
      <c r="R35" s="31"/>
      <c r="S35" s="31"/>
      <c r="T35" s="9"/>
    </row>
    <row r="36" spans="1:25">
      <c r="A36" s="49"/>
      <c r="B36" s="9"/>
      <c r="C36" s="48" t="str">
        <f>"SMC Weight/(1MxM) unirt conversion"</f>
        <v>SMC Weight/(1MxM) unirt conversion</v>
      </c>
      <c r="D36" s="112"/>
      <c r="E36" s="81"/>
      <c r="F36" s="83">
        <f>F34+F35</f>
        <v>4000.0001147347666</v>
      </c>
      <c r="G36" s="82" t="s">
        <v>136</v>
      </c>
      <c r="H36" s="108"/>
      <c r="J36" s="9"/>
      <c r="K36" s="35"/>
      <c r="R36" s="31"/>
      <c r="S36" s="31"/>
      <c r="T36" s="9"/>
      <c r="Y36"/>
    </row>
    <row r="37" spans="1:25">
      <c r="A37" s="49"/>
      <c r="B37" s="9"/>
      <c r="C37" s="35"/>
      <c r="D37" s="35"/>
      <c r="E37" s="79"/>
      <c r="F37" s="92"/>
      <c r="G37" s="79"/>
      <c r="H37" s="108"/>
      <c r="I37" s="154"/>
      <c r="J37" s="9"/>
      <c r="K37" s="35"/>
      <c r="R37" s="31"/>
      <c r="S37" s="31"/>
      <c r="T37" s="9"/>
    </row>
    <row r="38" spans="1:25">
      <c r="A38" s="49"/>
      <c r="B38" s="9"/>
      <c r="C38" s="73" t="s">
        <v>89</v>
      </c>
      <c r="D38" s="74"/>
      <c r="E38" s="75"/>
      <c r="F38" s="95">
        <f>F9/25</f>
        <v>160</v>
      </c>
      <c r="G38" s="135" t="s">
        <v>90</v>
      </c>
      <c r="H38" s="35"/>
      <c r="I38" s="154"/>
      <c r="J38" s="9"/>
      <c r="K38" s="35"/>
      <c r="R38" s="31"/>
      <c r="S38" s="31"/>
      <c r="T38" s="9"/>
    </row>
    <row r="39" spans="1:25">
      <c r="A39" s="49"/>
      <c r="B39" s="9"/>
      <c r="C39" s="73" t="s">
        <v>91</v>
      </c>
      <c r="D39" s="74"/>
      <c r="E39" s="75"/>
      <c r="F39" s="95">
        <f>F38*F10</f>
        <v>64</v>
      </c>
      <c r="G39" s="135" t="s">
        <v>90</v>
      </c>
      <c r="H39" s="35"/>
      <c r="I39" s="154"/>
      <c r="J39" s="9"/>
      <c r="K39" s="35"/>
      <c r="R39" s="31"/>
      <c r="S39" s="31"/>
      <c r="T39" s="9"/>
    </row>
    <row r="40" spans="1:25" ht="18" thickBot="1">
      <c r="A40" s="49"/>
      <c r="B40" s="9"/>
      <c r="C40" s="76" t="s">
        <v>92</v>
      </c>
      <c r="D40" s="77"/>
      <c r="E40" s="78"/>
      <c r="F40" s="96">
        <f>F38-F39</f>
        <v>96</v>
      </c>
      <c r="G40" s="136" t="s">
        <v>90</v>
      </c>
      <c r="H40" s="32"/>
      <c r="I40" s="150"/>
      <c r="J40" s="9"/>
      <c r="K40" s="35"/>
      <c r="R40" s="31"/>
      <c r="S40" s="31"/>
      <c r="T40" s="9"/>
    </row>
    <row r="41" spans="1:25">
      <c r="A41" s="49"/>
      <c r="B41" s="50" t="s">
        <v>93</v>
      </c>
      <c r="C41" s="51"/>
      <c r="D41" s="52"/>
      <c r="E41" s="53"/>
      <c r="F41" s="97" t="s">
        <v>88</v>
      </c>
      <c r="G41" s="137">
        <f>IF(F41="ON",1,0)</f>
        <v>1</v>
      </c>
      <c r="H41" s="53"/>
      <c r="I41" s="157"/>
      <c r="J41" s="54"/>
      <c r="K41" s="35"/>
      <c r="Q41" s="109"/>
      <c r="R41" s="31"/>
      <c r="S41" s="31"/>
      <c r="T41" s="9"/>
    </row>
    <row r="42" spans="1:25" ht="16.95" customHeight="1">
      <c r="A42" s="49"/>
      <c r="B42" s="55"/>
      <c r="C42" s="39" t="s">
        <v>94</v>
      </c>
      <c r="D42" s="56">
        <v>4800</v>
      </c>
      <c r="E42" s="32" t="s">
        <v>95</v>
      </c>
      <c r="F42" s="146">
        <f>D42</f>
        <v>4800</v>
      </c>
      <c r="G42" s="32" t="s">
        <v>90</v>
      </c>
      <c r="H42" s="32" t="s">
        <v>96</v>
      </c>
      <c r="I42" s="149">
        <f>1000*100*10</f>
        <v>1000000</v>
      </c>
      <c r="J42" s="32" t="s">
        <v>85</v>
      </c>
      <c r="K42" s="9"/>
      <c r="Q42" s="109"/>
      <c r="R42" s="9"/>
      <c r="S42" s="9"/>
      <c r="T42" s="9"/>
    </row>
    <row r="43" spans="1:25" ht="16.95" customHeight="1">
      <c r="A43" s="49"/>
      <c r="B43" s="55"/>
      <c r="C43" s="39" t="s">
        <v>97</v>
      </c>
      <c r="D43" s="56">
        <v>1</v>
      </c>
      <c r="E43" s="32" t="s">
        <v>98</v>
      </c>
      <c r="F43" s="89">
        <f>F42*I43/I42</f>
        <v>0.12192</v>
      </c>
      <c r="G43" s="32" t="s">
        <v>90</v>
      </c>
      <c r="H43" s="32" t="s">
        <v>96</v>
      </c>
      <c r="I43" s="159">
        <f>25.4*D43</f>
        <v>25.4</v>
      </c>
      <c r="J43" s="32" t="s">
        <v>85</v>
      </c>
      <c r="K43" s="9"/>
      <c r="Q43" s="109"/>
      <c r="R43" s="9"/>
      <c r="S43" s="9"/>
      <c r="T43" s="9"/>
    </row>
    <row r="44" spans="1:25" ht="16.95" customHeight="1">
      <c r="A44" s="49"/>
      <c r="B44" s="55"/>
      <c r="C44" s="39" t="s">
        <v>99</v>
      </c>
      <c r="D44" s="33"/>
      <c r="E44" s="32"/>
      <c r="F44" s="90">
        <v>32</v>
      </c>
      <c r="G44" s="32" t="s">
        <v>100</v>
      </c>
      <c r="H44" s="32"/>
      <c r="I44" s="150"/>
      <c r="J44" s="9"/>
      <c r="K44" s="9"/>
      <c r="Q44" s="109"/>
      <c r="R44" s="9"/>
      <c r="S44" s="9"/>
      <c r="T44" s="9"/>
    </row>
    <row r="45" spans="1:25" ht="16.8" customHeight="1" thickBot="1">
      <c r="A45" s="49"/>
      <c r="B45" s="58"/>
      <c r="C45" s="59" t="s">
        <v>101</v>
      </c>
      <c r="D45" s="59"/>
      <c r="E45" s="60"/>
      <c r="F45" s="98">
        <v>24</v>
      </c>
      <c r="G45" s="60" t="s">
        <v>102</v>
      </c>
      <c r="H45" s="60"/>
      <c r="I45" s="160"/>
      <c r="J45" s="59"/>
      <c r="K45" s="9"/>
      <c r="Q45" s="109"/>
      <c r="R45" s="9"/>
      <c r="S45" s="9"/>
      <c r="T45" s="9"/>
    </row>
    <row r="46" spans="1:25" ht="16.95" customHeight="1">
      <c r="A46" s="49"/>
      <c r="B46" s="50" t="s">
        <v>103</v>
      </c>
      <c r="C46" s="51"/>
      <c r="D46" s="52"/>
      <c r="E46" s="53"/>
      <c r="F46" s="97" t="s">
        <v>88</v>
      </c>
      <c r="G46" s="137">
        <f>IF(F46="ON",1,0)</f>
        <v>1</v>
      </c>
      <c r="H46" s="53"/>
      <c r="I46" s="157"/>
      <c r="J46" s="54"/>
      <c r="K46" s="9"/>
      <c r="Q46" s="109"/>
      <c r="R46" s="9"/>
      <c r="S46" s="9"/>
      <c r="T46" s="9"/>
    </row>
    <row r="47" spans="1:25" ht="16.95" customHeight="1">
      <c r="A47" s="49"/>
      <c r="B47" s="55"/>
      <c r="C47" s="39" t="s">
        <v>104</v>
      </c>
      <c r="D47" s="56">
        <v>4800</v>
      </c>
      <c r="E47" s="32" t="s">
        <v>95</v>
      </c>
      <c r="F47" s="146">
        <f>D47</f>
        <v>4800</v>
      </c>
      <c r="G47" s="32" t="s">
        <v>90</v>
      </c>
      <c r="H47" s="32" t="s">
        <v>96</v>
      </c>
      <c r="I47" s="158">
        <f>1000*100*10</f>
        <v>1000000</v>
      </c>
      <c r="J47" s="32" t="s">
        <v>85</v>
      </c>
      <c r="K47" s="9"/>
      <c r="Q47" s="109"/>
      <c r="R47" s="9"/>
      <c r="S47" s="9"/>
      <c r="T47" s="9"/>
    </row>
    <row r="48" spans="1:25" ht="16.95" customHeight="1">
      <c r="A48" s="49"/>
      <c r="B48" s="55"/>
      <c r="C48" s="39" t="s">
        <v>105</v>
      </c>
      <c r="D48" s="56">
        <v>1</v>
      </c>
      <c r="E48" s="32" t="s">
        <v>98</v>
      </c>
      <c r="F48" s="89">
        <f>F47*I48/I47</f>
        <v>0.12192</v>
      </c>
      <c r="G48" s="32" t="s">
        <v>90</v>
      </c>
      <c r="H48" s="32" t="s">
        <v>96</v>
      </c>
      <c r="I48" s="159">
        <f>25.4*D48</f>
        <v>25.4</v>
      </c>
      <c r="J48" s="32" t="s">
        <v>85</v>
      </c>
      <c r="K48" s="9"/>
      <c r="Q48" s="109"/>
      <c r="R48" s="9"/>
      <c r="S48" s="9"/>
      <c r="T48" s="9"/>
    </row>
    <row r="49" spans="1:20" ht="16.95" customHeight="1">
      <c r="A49" s="49"/>
      <c r="B49" s="55"/>
      <c r="C49" s="39" t="s">
        <v>106</v>
      </c>
      <c r="D49" s="33"/>
      <c r="E49" s="32"/>
      <c r="F49" s="90">
        <v>32</v>
      </c>
      <c r="G49" s="32" t="s">
        <v>100</v>
      </c>
      <c r="H49" s="32"/>
      <c r="I49" s="150"/>
      <c r="J49" s="9"/>
      <c r="K49" s="44"/>
      <c r="Q49" s="109"/>
      <c r="R49" s="9"/>
      <c r="S49" s="9"/>
      <c r="T49" s="9"/>
    </row>
    <row r="50" spans="1:20" ht="16.95" customHeight="1" thickBot="1">
      <c r="A50" s="49"/>
      <c r="B50" s="58"/>
      <c r="C50" s="59" t="s">
        <v>107</v>
      </c>
      <c r="D50" s="59"/>
      <c r="E50" s="60"/>
      <c r="F50" s="98">
        <v>24</v>
      </c>
      <c r="G50" s="60" t="s">
        <v>102</v>
      </c>
      <c r="H50" s="60"/>
      <c r="I50" s="160"/>
      <c r="J50" s="59"/>
      <c r="K50" s="32"/>
      <c r="Q50" s="9"/>
      <c r="R50" s="9"/>
      <c r="S50" s="9"/>
      <c r="T50" s="9"/>
    </row>
    <row r="51" spans="1:20" ht="16.95" customHeight="1" thickBot="1">
      <c r="A51" s="49"/>
      <c r="B51" s="61" t="s">
        <v>108</v>
      </c>
      <c r="C51" s="62"/>
      <c r="D51" s="63"/>
      <c r="E51" s="64"/>
      <c r="F51" s="99" t="s">
        <v>109</v>
      </c>
      <c r="G51" s="138">
        <f>IF(F51="ON",1,0)</f>
        <v>0</v>
      </c>
      <c r="H51" s="64"/>
      <c r="I51" s="161"/>
      <c r="J51" s="65"/>
      <c r="K51" s="32"/>
      <c r="Q51" s="9"/>
      <c r="R51" s="9"/>
      <c r="S51" s="9"/>
      <c r="T51" s="9"/>
    </row>
    <row r="52" spans="1:20" ht="16.95" hidden="1" customHeight="1">
      <c r="A52" s="9"/>
      <c r="B52" s="9"/>
      <c r="C52" s="39" t="s">
        <v>110</v>
      </c>
      <c r="D52" s="66">
        <v>4800</v>
      </c>
      <c r="E52" s="32" t="s">
        <v>95</v>
      </c>
      <c r="F52" s="89">
        <f>D52</f>
        <v>4800</v>
      </c>
      <c r="G52" s="32" t="s">
        <v>90</v>
      </c>
      <c r="H52" s="32" t="s">
        <v>96</v>
      </c>
      <c r="I52" s="158">
        <f>1000*100*10</f>
        <v>1000000</v>
      </c>
      <c r="J52" s="32" t="s">
        <v>85</v>
      </c>
      <c r="K52" s="9"/>
      <c r="Q52" s="9"/>
      <c r="R52" s="9"/>
      <c r="S52" s="9"/>
      <c r="T52" s="9"/>
    </row>
    <row r="53" spans="1:20" ht="16.95" hidden="1" customHeight="1">
      <c r="B53" s="9"/>
      <c r="C53" s="39" t="s">
        <v>111</v>
      </c>
      <c r="D53" s="67">
        <v>48</v>
      </c>
      <c r="E53" s="32" t="s">
        <v>112</v>
      </c>
      <c r="F53" s="89">
        <f>F52*I53/I52</f>
        <v>4.8</v>
      </c>
      <c r="G53" s="32" t="s">
        <v>90</v>
      </c>
      <c r="H53" s="32" t="s">
        <v>96</v>
      </c>
      <c r="I53" s="159">
        <f>1000</f>
        <v>1000</v>
      </c>
      <c r="J53" s="32" t="s">
        <v>85</v>
      </c>
      <c r="K53" s="9"/>
      <c r="Q53" s="9"/>
    </row>
    <row r="54" spans="1:20" ht="16.95" hidden="1" customHeight="1" thickBot="1">
      <c r="B54" s="9"/>
      <c r="C54" s="39"/>
      <c r="D54" s="39"/>
      <c r="E54" s="32"/>
      <c r="F54" s="89"/>
      <c r="G54" s="32"/>
      <c r="H54" s="32"/>
      <c r="I54" s="159"/>
      <c r="J54" s="32"/>
      <c r="K54" s="44"/>
      <c r="Q54" s="9"/>
    </row>
    <row r="55" spans="1:20" ht="16.95" customHeight="1" thickBot="1">
      <c r="B55" s="61" t="s">
        <v>113</v>
      </c>
      <c r="C55" s="62"/>
      <c r="D55" s="63"/>
      <c r="E55" s="64"/>
      <c r="F55" s="99" t="s">
        <v>109</v>
      </c>
      <c r="G55" s="138">
        <f>IF(F55="ON",1,0)</f>
        <v>0</v>
      </c>
      <c r="H55" s="64"/>
      <c r="I55" s="161"/>
      <c r="J55" s="65"/>
      <c r="K55" s="32"/>
      <c r="Q55" s="9"/>
    </row>
    <row r="56" spans="1:20" ht="16.95" hidden="1" customHeight="1">
      <c r="B56" s="55"/>
      <c r="C56" s="9" t="s">
        <v>113</v>
      </c>
      <c r="D56" s="68">
        <v>580</v>
      </c>
      <c r="E56" s="32" t="s">
        <v>86</v>
      </c>
      <c r="F56" s="100">
        <f>D56</f>
        <v>580</v>
      </c>
      <c r="G56" s="32" t="s">
        <v>90</v>
      </c>
      <c r="H56" s="32" t="s">
        <v>96</v>
      </c>
      <c r="I56" s="159">
        <f>1000</f>
        <v>1000</v>
      </c>
      <c r="J56" s="32" t="s">
        <v>85</v>
      </c>
      <c r="K56" s="32"/>
      <c r="Q56" s="9"/>
    </row>
    <row r="57" spans="1:20" ht="16.95" hidden="1" customHeight="1">
      <c r="B57" s="9"/>
      <c r="C57" s="9"/>
      <c r="D57" s="9"/>
      <c r="E57" s="32"/>
      <c r="F57" s="87"/>
      <c r="G57" s="32"/>
      <c r="H57" s="32"/>
      <c r="I57" s="150"/>
      <c r="J57" s="9"/>
      <c r="K57" s="9"/>
      <c r="Q57" s="9"/>
    </row>
    <row r="58" spans="1:20" ht="16.95" customHeight="1">
      <c r="B58" s="9"/>
      <c r="C58" s="9"/>
      <c r="D58" s="9"/>
      <c r="E58" s="32"/>
      <c r="F58" s="87"/>
      <c r="G58" s="32"/>
      <c r="H58" s="32"/>
      <c r="I58" s="150"/>
      <c r="J58" s="9"/>
      <c r="K58" s="9"/>
      <c r="Q58" s="9"/>
    </row>
    <row r="59" spans="1:20" ht="16.95" customHeight="1">
      <c r="B59" s="9"/>
      <c r="C59" s="45" t="s">
        <v>114</v>
      </c>
      <c r="D59" s="46"/>
      <c r="E59" s="47"/>
      <c r="F59" s="101">
        <f>IF(G41=0,0,IF(G46=1,(F31-F61-F62)/2,(F31-F61-F62)))</f>
        <v>800.00002294695344</v>
      </c>
      <c r="G59" s="22" t="s">
        <v>90</v>
      </c>
      <c r="H59" s="22" t="s">
        <v>96</v>
      </c>
      <c r="I59" s="162" t="s">
        <v>115</v>
      </c>
      <c r="J59" s="69">
        <f>F59/F35</f>
        <v>0.5</v>
      </c>
      <c r="K59" s="9"/>
      <c r="Q59" s="9"/>
    </row>
    <row r="60" spans="1:20" ht="16.95" customHeight="1">
      <c r="B60" s="9"/>
      <c r="C60" s="45" t="s">
        <v>116</v>
      </c>
      <c r="D60" s="46"/>
      <c r="E60" s="47"/>
      <c r="F60" s="101">
        <f>IF(G46=0,0,IF(G41=1,(F31-F61-F62)/2,F31-F61-F62))</f>
        <v>800.00002294695344</v>
      </c>
      <c r="G60" s="22" t="s">
        <v>90</v>
      </c>
      <c r="H60" s="22" t="s">
        <v>96</v>
      </c>
      <c r="I60" s="162" t="s">
        <v>115</v>
      </c>
      <c r="J60" s="9"/>
      <c r="K60" s="44"/>
      <c r="Q60" s="9"/>
    </row>
    <row r="61" spans="1:20" ht="16.95" customHeight="1">
      <c r="B61" s="9"/>
      <c r="C61" s="45" t="s">
        <v>117</v>
      </c>
      <c r="D61" s="46"/>
      <c r="E61" s="47"/>
      <c r="F61" s="101">
        <f>IF(G51=0,0,F53*D53)</f>
        <v>0</v>
      </c>
      <c r="G61" s="22" t="s">
        <v>90</v>
      </c>
      <c r="H61" s="22" t="s">
        <v>96</v>
      </c>
      <c r="I61" s="162" t="s">
        <v>115</v>
      </c>
      <c r="J61" s="69">
        <f>F61/F34</f>
        <v>0</v>
      </c>
      <c r="K61" s="32"/>
      <c r="Q61" s="9"/>
    </row>
    <row r="62" spans="1:20" ht="16.95" customHeight="1">
      <c r="B62" s="9"/>
      <c r="C62" s="45" t="s">
        <v>118</v>
      </c>
      <c r="D62" s="46"/>
      <c r="E62" s="47"/>
      <c r="F62" s="101">
        <f>IF(G55=0,0,F56)</f>
        <v>0</v>
      </c>
      <c r="G62" s="22" t="s">
        <v>90</v>
      </c>
      <c r="H62" s="22" t="s">
        <v>96</v>
      </c>
      <c r="I62" s="162" t="s">
        <v>115</v>
      </c>
      <c r="J62" s="9"/>
      <c r="K62" s="32"/>
    </row>
    <row r="63" spans="1:20" ht="16.95" customHeight="1">
      <c r="B63" s="70"/>
      <c r="C63" s="10" t="s">
        <v>119</v>
      </c>
      <c r="D63" s="10"/>
      <c r="E63" s="22"/>
      <c r="F63" s="101">
        <f>F60+F59+F61+F62</f>
        <v>1600.0000458939069</v>
      </c>
      <c r="G63" s="22" t="s">
        <v>90</v>
      </c>
      <c r="H63" s="22" t="s">
        <v>96</v>
      </c>
      <c r="I63" s="162" t="s">
        <v>115</v>
      </c>
      <c r="J63" s="9"/>
      <c r="K63" s="32"/>
    </row>
    <row r="64" spans="1:20" ht="16.95" customHeight="1">
      <c r="B64" s="9"/>
      <c r="C64" s="9"/>
      <c r="D64" s="9"/>
      <c r="E64" s="9"/>
      <c r="F64" s="9"/>
      <c r="G64" s="32"/>
      <c r="H64" s="9"/>
      <c r="I64" s="150"/>
      <c r="J64" s="9"/>
      <c r="K64" s="44"/>
    </row>
    <row r="65" spans="1:32" ht="16.95" customHeight="1">
      <c r="B65" s="70"/>
      <c r="C65" s="115" t="s">
        <v>26</v>
      </c>
      <c r="D65" s="115"/>
      <c r="E65" s="117" t="s">
        <v>27</v>
      </c>
      <c r="F65" s="118"/>
      <c r="G65" s="111" t="s">
        <v>0</v>
      </c>
      <c r="H65" s="32"/>
      <c r="I65" s="150"/>
      <c r="J65" s="9"/>
      <c r="K65" s="9"/>
    </row>
    <row r="66" spans="1:32" ht="16.95" customHeight="1">
      <c r="B66" s="39"/>
      <c r="C66" s="188" t="s">
        <v>121</v>
      </c>
      <c r="D66" s="189"/>
      <c r="E66" s="190"/>
      <c r="F66" s="102">
        <f>(F59*F5)/(F43*F44*F45)</f>
        <v>42.71927069166307</v>
      </c>
      <c r="G66" s="183" t="s">
        <v>122</v>
      </c>
      <c r="H66" s="184"/>
      <c r="I66" s="185"/>
      <c r="J66" s="9"/>
      <c r="K66" s="9"/>
    </row>
    <row r="67" spans="1:32" ht="16.95" customHeight="1">
      <c r="B67" s="39"/>
      <c r="C67" s="188" t="s">
        <v>123</v>
      </c>
      <c r="D67" s="189"/>
      <c r="E67" s="190"/>
      <c r="F67" s="102">
        <f>(F60*F5)/(F48*F49*F50)</f>
        <v>42.71927069166307</v>
      </c>
      <c r="G67" s="183" t="s">
        <v>122</v>
      </c>
      <c r="H67" s="184"/>
      <c r="I67" s="185"/>
      <c r="J67" s="9"/>
      <c r="K67" s="9"/>
    </row>
    <row r="68" spans="1:32" ht="16.95" customHeight="1">
      <c r="K68" s="9"/>
    </row>
    <row r="69" spans="1:32" ht="16.95" customHeight="1">
      <c r="A69" s="9"/>
      <c r="B69" s="9"/>
      <c r="C69" s="179" t="s">
        <v>2</v>
      </c>
      <c r="D69" s="180"/>
      <c r="E69" s="6" t="s">
        <v>3</v>
      </c>
      <c r="F69" s="133">
        <v>2.4010901627811312</v>
      </c>
      <c r="G69" s="6" t="s">
        <v>4</v>
      </c>
      <c r="H69" s="9"/>
      <c r="I69" s="150"/>
      <c r="J69" s="35"/>
      <c r="K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</row>
    <row r="70" spans="1:32">
      <c r="A70" s="9"/>
      <c r="C70" s="105" t="s">
        <v>137</v>
      </c>
      <c r="D70" s="105"/>
      <c r="E70" s="82" t="s">
        <v>3</v>
      </c>
      <c r="F70" s="93">
        <f>F69/2</f>
        <v>1.2005450813905656</v>
      </c>
      <c r="G70" s="82"/>
      <c r="K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 t="e">
        <f>#REF!/(#REF!*#REF!*#REF!)*1000</f>
        <v>#REF!</v>
      </c>
      <c r="AC70" s="9" t="s">
        <v>120</v>
      </c>
      <c r="AD70" s="9" t="e">
        <f>AB70*10</f>
        <v>#REF!</v>
      </c>
      <c r="AE70" s="9"/>
      <c r="AF70" s="9"/>
    </row>
    <row r="71" spans="1:32">
      <c r="A71" s="9"/>
      <c r="C71" s="105" t="s">
        <v>138</v>
      </c>
      <c r="D71" s="105"/>
      <c r="E71" s="82" t="s">
        <v>3</v>
      </c>
      <c r="F71" s="93">
        <f>F69/2</f>
        <v>1.2005450813905656</v>
      </c>
      <c r="G71" s="82"/>
      <c r="K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</row>
    <row r="72" spans="1:32" ht="16.95" customHeight="1">
      <c r="A72" s="9"/>
      <c r="K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</row>
    <row r="73" spans="1:32" ht="16.95" customHeight="1">
      <c r="A73" s="9"/>
      <c r="K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</row>
    <row r="74" spans="1:32">
      <c r="A74" s="9"/>
      <c r="B74" s="39"/>
      <c r="C74" s="9"/>
      <c r="D74" s="33"/>
      <c r="E74" s="32"/>
      <c r="F74" s="87"/>
      <c r="G74" s="32"/>
      <c r="H74" s="32"/>
      <c r="I74" s="150"/>
      <c r="J74" s="9"/>
      <c r="K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</row>
    <row r="75" spans="1:32" ht="17.399999999999999" hidden="1" customHeight="1">
      <c r="A75" s="9"/>
      <c r="B75" s="39"/>
      <c r="C75" s="9"/>
      <c r="D75" s="33"/>
      <c r="E75" s="32"/>
      <c r="F75" s="87"/>
      <c r="G75" s="32"/>
      <c r="H75" s="32"/>
      <c r="I75" s="150"/>
      <c r="J75" s="9"/>
      <c r="K75" s="9"/>
      <c r="L75"/>
      <c r="M75" s="4"/>
      <c r="N75" s="130"/>
      <c r="O75" s="4"/>
      <c r="P75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</row>
    <row r="76" spans="1:32" ht="17.399999999999999" hidden="1" customHeight="1">
      <c r="A76" s="9"/>
      <c r="B76" s="39"/>
      <c r="C76" s="9"/>
      <c r="D76" s="33"/>
      <c r="E76" s="32"/>
      <c r="F76" s="87"/>
      <c r="G76" s="32"/>
      <c r="H76" s="32"/>
      <c r="I76" s="150"/>
      <c r="J76" s="9"/>
      <c r="K76" s="9"/>
      <c r="L76" s="9"/>
      <c r="M76" s="9"/>
      <c r="N76" s="30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</row>
    <row r="77" spans="1:32" ht="17.399999999999999" hidden="1" customHeight="1">
      <c r="A77" s="9"/>
      <c r="B77" s="39"/>
      <c r="C77" s="9"/>
      <c r="D77" s="33"/>
      <c r="E77" s="32"/>
      <c r="F77" s="87"/>
      <c r="G77" s="32"/>
      <c r="H77" s="32"/>
      <c r="I77" s="150"/>
      <c r="J77" s="9"/>
      <c r="K77" s="9"/>
      <c r="L77" s="9"/>
      <c r="M77" s="9"/>
      <c r="N77" s="30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</row>
    <row r="78" spans="1:32" ht="17.399999999999999" hidden="1" customHeight="1">
      <c r="A78" s="9"/>
      <c r="B78" s="39"/>
      <c r="C78" s="9"/>
      <c r="D78" s="33"/>
      <c r="E78" s="32"/>
      <c r="F78" s="87"/>
      <c r="G78" s="32"/>
      <c r="H78" s="32"/>
      <c r="I78" s="150"/>
      <c r="J78" s="9"/>
      <c r="K78" s="9"/>
      <c r="L78" s="9"/>
      <c r="M78" s="9"/>
      <c r="N78" s="30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</row>
    <row r="79" spans="1:32" hidden="1">
      <c r="A79" s="9"/>
      <c r="B79" s="39"/>
      <c r="C79" s="39"/>
      <c r="D79" s="9"/>
      <c r="E79" s="32"/>
      <c r="F79" s="87"/>
      <c r="G79" s="32"/>
      <c r="H79" s="9"/>
      <c r="I79" s="150"/>
      <c r="J79" s="9"/>
      <c r="K79" s="9"/>
      <c r="L79" s="9"/>
      <c r="M79" s="9"/>
      <c r="N79" s="30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</row>
    <row r="80" spans="1:32" hidden="1">
      <c r="B80" s="9"/>
      <c r="C80" s="9"/>
      <c r="D80" s="33"/>
      <c r="E80" s="32"/>
      <c r="F80" s="87"/>
      <c r="G80" s="32"/>
      <c r="H80" s="32"/>
      <c r="I80" s="150"/>
      <c r="J80" s="9"/>
      <c r="K80" s="9"/>
    </row>
    <row r="81" spans="2:11" hidden="1">
      <c r="B81" s="9"/>
      <c r="C81" s="9"/>
      <c r="D81" s="33"/>
      <c r="E81" s="32"/>
      <c r="F81" s="87"/>
      <c r="G81" s="32"/>
      <c r="H81" s="32"/>
      <c r="I81" s="150"/>
      <c r="J81" s="9"/>
      <c r="K81" s="9"/>
    </row>
    <row r="82" spans="2:11" hidden="1">
      <c r="B82" s="9"/>
      <c r="C82" s="9"/>
      <c r="D82" s="33"/>
      <c r="E82" s="32"/>
      <c r="F82" s="87"/>
      <c r="G82" s="32"/>
      <c r="H82" s="32"/>
      <c r="I82" s="150"/>
      <c r="J82" s="9"/>
      <c r="K82" s="9"/>
    </row>
    <row r="83" spans="2:11" hidden="1">
      <c r="B83" s="9"/>
      <c r="C83" s="9"/>
      <c r="D83" s="33"/>
      <c r="E83" s="32"/>
      <c r="F83" s="87"/>
      <c r="G83" s="32"/>
      <c r="H83" s="32"/>
      <c r="I83" s="150"/>
      <c r="J83" s="9"/>
      <c r="K83" s="9"/>
    </row>
    <row r="84" spans="2:11" hidden="1">
      <c r="B84" s="9"/>
      <c r="C84" s="9"/>
      <c r="D84" s="33"/>
      <c r="E84" s="32"/>
      <c r="F84" s="87"/>
      <c r="G84" s="32"/>
      <c r="H84" s="32"/>
      <c r="I84" s="150"/>
      <c r="J84" s="9"/>
      <c r="K84" s="9"/>
    </row>
    <row r="85" spans="2:11" hidden="1">
      <c r="B85" s="9"/>
      <c r="C85" s="9"/>
      <c r="D85" s="33"/>
      <c r="E85" s="32"/>
      <c r="F85" s="87"/>
      <c r="G85" s="32"/>
      <c r="H85" s="32"/>
      <c r="I85" s="150"/>
      <c r="J85" s="9"/>
      <c r="K85" s="9"/>
    </row>
    <row r="86" spans="2:11" hidden="1">
      <c r="B86" s="9"/>
      <c r="C86" s="9"/>
      <c r="D86" s="33"/>
      <c r="E86" s="32"/>
      <c r="F86" s="87"/>
      <c r="G86" s="32"/>
      <c r="H86" s="32"/>
      <c r="I86" s="150"/>
      <c r="J86" s="9"/>
      <c r="K86" s="9"/>
    </row>
    <row r="87" spans="2:11" hidden="1">
      <c r="B87" s="9"/>
      <c r="C87" s="9"/>
      <c r="D87" s="33"/>
      <c r="E87" s="32"/>
      <c r="F87" s="87"/>
      <c r="G87" s="32"/>
      <c r="H87" s="32"/>
      <c r="I87" s="150"/>
      <c r="J87" s="9"/>
      <c r="K87" s="9"/>
    </row>
    <row r="88" spans="2:11" hidden="1">
      <c r="B88" s="39"/>
      <c r="C88" s="39"/>
      <c r="D88" s="33"/>
      <c r="E88" s="32"/>
      <c r="F88" s="89"/>
      <c r="G88" s="32"/>
      <c r="H88" s="32"/>
      <c r="I88" s="150"/>
      <c r="J88" s="9"/>
      <c r="K88" s="9"/>
    </row>
    <row r="89" spans="2:11" hidden="1">
      <c r="B89" s="9"/>
      <c r="C89" s="9"/>
      <c r="D89" s="33"/>
      <c r="E89" s="32"/>
      <c r="F89" s="87"/>
      <c r="G89" s="32"/>
      <c r="H89" s="32"/>
      <c r="I89" s="150"/>
      <c r="J89" s="9"/>
      <c r="K89" s="9"/>
    </row>
    <row r="90" spans="2:11" hidden="1">
      <c r="B90" s="9"/>
      <c r="C90" s="9"/>
      <c r="D90" s="33"/>
      <c r="E90" s="32"/>
      <c r="F90" s="87"/>
      <c r="G90" s="32"/>
      <c r="H90" s="32"/>
      <c r="I90" s="150"/>
      <c r="J90" s="9"/>
      <c r="K90" s="9"/>
    </row>
    <row r="91" spans="2:11" hidden="1">
      <c r="B91" s="9"/>
      <c r="C91" s="9"/>
      <c r="D91" s="33"/>
      <c r="E91" s="32"/>
      <c r="F91" s="87"/>
      <c r="G91" s="32"/>
      <c r="H91" s="32"/>
      <c r="I91" s="150"/>
      <c r="J91" s="9"/>
      <c r="K91" s="9"/>
    </row>
    <row r="92" spans="2:11" hidden="1">
      <c r="B92" s="57"/>
      <c r="C92" s="57"/>
      <c r="D92" s="57"/>
      <c r="E92" s="116"/>
      <c r="F92" s="89"/>
      <c r="G92" s="32"/>
      <c r="H92" s="32"/>
      <c r="I92" s="159"/>
      <c r="J92" s="32"/>
      <c r="K92" s="32"/>
    </row>
    <row r="93" spans="2:11" hidden="1">
      <c r="B93" s="9"/>
      <c r="C93" s="9"/>
      <c r="D93" s="33"/>
      <c r="E93" s="32"/>
      <c r="F93" s="87"/>
      <c r="G93" s="32"/>
      <c r="H93" s="32"/>
      <c r="I93" s="150"/>
      <c r="J93" s="9"/>
      <c r="K93" s="9"/>
    </row>
    <row r="94" spans="2:11">
      <c r="B94" s="9"/>
      <c r="C94" s="9"/>
      <c r="D94" s="33"/>
      <c r="E94" s="32"/>
      <c r="F94" s="87"/>
      <c r="G94" s="32"/>
      <c r="H94" s="32"/>
      <c r="I94" s="150"/>
      <c r="J94" s="9"/>
      <c r="K94" s="9"/>
    </row>
    <row r="95" spans="2:11">
      <c r="B95" s="9"/>
      <c r="C95" s="9"/>
      <c r="D95" s="33"/>
      <c r="E95" s="32"/>
      <c r="F95" s="87"/>
      <c r="G95" s="32"/>
      <c r="H95" s="32"/>
      <c r="I95" s="150"/>
      <c r="J95" s="9"/>
      <c r="K95" s="9"/>
    </row>
    <row r="96" spans="2:11" hidden="1">
      <c r="B96" s="9"/>
      <c r="C96" s="9"/>
      <c r="D96" s="33"/>
      <c r="E96" s="32"/>
      <c r="F96" s="87"/>
      <c r="G96" s="32"/>
      <c r="H96" s="32"/>
      <c r="I96" s="150"/>
      <c r="J96" s="9"/>
      <c r="K96" s="9"/>
    </row>
    <row r="97" spans="2:11" hidden="1">
      <c r="B97" s="39"/>
      <c r="C97" s="39"/>
      <c r="D97" s="33"/>
      <c r="E97" s="32"/>
      <c r="F97" s="103"/>
      <c r="G97" s="32"/>
      <c r="H97" s="32"/>
      <c r="I97" s="150"/>
      <c r="J97" s="9"/>
      <c r="K97" s="9"/>
    </row>
    <row r="98" spans="2:11" hidden="1">
      <c r="B98" s="9"/>
      <c r="C98" s="9"/>
      <c r="D98" s="33"/>
      <c r="E98" s="32"/>
      <c r="F98" s="87"/>
      <c r="G98" s="32"/>
      <c r="H98" s="32"/>
      <c r="I98" s="150"/>
      <c r="J98" s="71"/>
      <c r="K98" s="71"/>
    </row>
    <row r="99" spans="2:11" hidden="1">
      <c r="B99" s="39"/>
      <c r="C99" s="39"/>
      <c r="D99" s="33"/>
      <c r="E99" s="32"/>
      <c r="F99" s="104"/>
      <c r="G99" s="32"/>
      <c r="H99" s="32"/>
      <c r="I99" s="150"/>
      <c r="J99" s="9"/>
      <c r="K99" s="9"/>
    </row>
    <row r="100" spans="2:11" hidden="1">
      <c r="B100" s="9"/>
      <c r="C100" s="9"/>
      <c r="D100" s="33"/>
      <c r="E100" s="32"/>
      <c r="F100" s="87"/>
      <c r="G100" s="32"/>
      <c r="H100" s="32"/>
      <c r="I100" s="150"/>
      <c r="J100" s="9"/>
      <c r="K100" s="9"/>
    </row>
    <row r="101" spans="2:11" hidden="1">
      <c r="B101" s="9"/>
      <c r="C101" s="9" t="s">
        <v>124</v>
      </c>
      <c r="D101" s="33" t="s">
        <v>125</v>
      </c>
      <c r="E101" s="32"/>
      <c r="F101" s="87" t="s">
        <v>126</v>
      </c>
      <c r="G101" s="32"/>
      <c r="H101" s="32"/>
      <c r="I101" s="150"/>
      <c r="J101" s="9"/>
      <c r="K101" s="9"/>
    </row>
    <row r="102" spans="2:11" hidden="1">
      <c r="B102" s="9"/>
      <c r="C102" s="32">
        <v>2400</v>
      </c>
      <c r="D102" s="72">
        <v>0.5</v>
      </c>
      <c r="E102" s="32"/>
      <c r="F102" s="87" t="s">
        <v>127</v>
      </c>
      <c r="G102" s="32"/>
      <c r="H102" s="32"/>
      <c r="I102" s="150"/>
      <c r="J102" s="9"/>
      <c r="K102" s="9"/>
    </row>
    <row r="103" spans="2:11" hidden="1">
      <c r="B103" s="9"/>
      <c r="C103" s="32">
        <v>4400</v>
      </c>
      <c r="D103" s="33">
        <v>1</v>
      </c>
      <c r="E103" s="32"/>
      <c r="F103" s="87"/>
      <c r="G103" s="32"/>
      <c r="H103" s="32"/>
      <c r="I103" s="150"/>
      <c r="J103" s="9"/>
      <c r="K103" s="9"/>
    </row>
    <row r="104" spans="2:11" hidden="1">
      <c r="B104" s="9"/>
      <c r="C104" s="32">
        <v>4800</v>
      </c>
      <c r="D104" s="33">
        <v>2</v>
      </c>
      <c r="E104" s="32"/>
      <c r="F104" s="87"/>
      <c r="G104" s="32"/>
      <c r="H104" s="32"/>
      <c r="I104" s="150"/>
      <c r="J104" s="9"/>
      <c r="K104" s="9"/>
    </row>
    <row r="105" spans="2:11" hidden="1">
      <c r="B105" s="9"/>
      <c r="C105" s="32">
        <v>9600</v>
      </c>
      <c r="D105" s="33"/>
      <c r="E105" s="32"/>
      <c r="F105" s="87"/>
      <c r="G105" s="32"/>
      <c r="H105" s="32"/>
      <c r="I105" s="150"/>
      <c r="J105" s="9"/>
      <c r="K105" s="9"/>
    </row>
    <row r="106" spans="2:11" hidden="1">
      <c r="B106" s="9"/>
      <c r="C106" s="9"/>
      <c r="D106" s="33"/>
      <c r="E106" s="32"/>
      <c r="F106" s="87"/>
      <c r="G106" s="32"/>
      <c r="H106" s="32"/>
      <c r="I106" s="150"/>
      <c r="J106" s="9"/>
      <c r="K106" s="9"/>
    </row>
    <row r="107" spans="2:11" hidden="1">
      <c r="B107" s="9"/>
      <c r="C107" s="9"/>
      <c r="D107" s="33"/>
      <c r="E107" s="32"/>
      <c r="F107" s="87"/>
      <c r="G107" s="32"/>
      <c r="H107" s="32"/>
      <c r="I107" s="150"/>
      <c r="J107" s="9"/>
      <c r="K107" s="9"/>
    </row>
    <row r="108" spans="2:11" hidden="1">
      <c r="B108" s="9"/>
      <c r="C108" s="9"/>
      <c r="D108" s="33"/>
      <c r="E108" s="32"/>
      <c r="F108" s="87"/>
      <c r="G108" s="32"/>
      <c r="H108" s="32"/>
      <c r="I108" s="150"/>
      <c r="J108" s="9"/>
      <c r="K108" s="9"/>
    </row>
    <row r="109" spans="2:11" hidden="1">
      <c r="B109" s="9"/>
      <c r="C109" s="9"/>
      <c r="D109" s="33"/>
      <c r="E109" s="32"/>
      <c r="F109" s="87"/>
      <c r="G109" s="32"/>
      <c r="H109" s="32"/>
      <c r="I109" s="150"/>
      <c r="J109" s="9"/>
      <c r="K109" s="9"/>
    </row>
    <row r="110" spans="2:11" hidden="1">
      <c r="B110" s="9"/>
      <c r="C110" s="9"/>
      <c r="D110" s="33"/>
      <c r="E110" s="32"/>
      <c r="F110" s="87"/>
      <c r="G110" s="32"/>
      <c r="H110" s="32"/>
      <c r="I110" s="150"/>
      <c r="J110" s="9"/>
      <c r="K110" s="9"/>
    </row>
    <row r="111" spans="2:11" hidden="1">
      <c r="B111" s="9"/>
      <c r="C111" s="9"/>
      <c r="D111" s="33"/>
      <c r="E111" s="32"/>
      <c r="F111" s="87"/>
      <c r="G111" s="32"/>
      <c r="H111" s="32"/>
      <c r="I111" s="150"/>
      <c r="J111" s="9"/>
      <c r="K111" s="9"/>
    </row>
    <row r="112" spans="2:11" hidden="1">
      <c r="F112" s="87"/>
    </row>
    <row r="113" spans="6:6">
      <c r="F113" s="87"/>
    </row>
    <row r="114" spans="6:6">
      <c r="F114" s="87"/>
    </row>
    <row r="115" spans="6:6" hidden="1">
      <c r="F115" s="87"/>
    </row>
    <row r="116" spans="6:6" hidden="1">
      <c r="F116" s="87">
        <v>1</v>
      </c>
    </row>
    <row r="117" spans="6:6" hidden="1">
      <c r="F117" s="87">
        <v>2</v>
      </c>
    </row>
    <row r="118" spans="6:6" hidden="1">
      <c r="F118" s="87">
        <v>3</v>
      </c>
    </row>
    <row r="119" spans="6:6" hidden="1">
      <c r="F119" s="87">
        <v>4</v>
      </c>
    </row>
    <row r="120" spans="6:6" hidden="1">
      <c r="F120" s="87">
        <v>5</v>
      </c>
    </row>
    <row r="121" spans="6:6" hidden="1">
      <c r="F121" s="87">
        <v>6</v>
      </c>
    </row>
    <row r="122" spans="6:6" hidden="1">
      <c r="F122" s="87">
        <v>7</v>
      </c>
    </row>
    <row r="123" spans="6:6" hidden="1">
      <c r="F123" s="87">
        <v>8</v>
      </c>
    </row>
    <row r="124" spans="6:6" hidden="1">
      <c r="F124" s="87">
        <v>9</v>
      </c>
    </row>
    <row r="125" spans="6:6" hidden="1">
      <c r="F125" s="87">
        <v>10</v>
      </c>
    </row>
    <row r="126" spans="6:6" hidden="1">
      <c r="F126" s="87">
        <v>11</v>
      </c>
    </row>
    <row r="127" spans="6:6" hidden="1">
      <c r="F127" s="87">
        <v>12</v>
      </c>
    </row>
    <row r="128" spans="6:6" hidden="1">
      <c r="F128" s="87">
        <v>13</v>
      </c>
    </row>
    <row r="129" spans="6:6" hidden="1">
      <c r="F129" s="87">
        <v>14</v>
      </c>
    </row>
    <row r="130" spans="6:6" hidden="1">
      <c r="F130" s="87">
        <v>15</v>
      </c>
    </row>
    <row r="131" spans="6:6" hidden="1">
      <c r="F131" s="87">
        <v>16</v>
      </c>
    </row>
    <row r="132" spans="6:6" hidden="1">
      <c r="F132" s="87">
        <v>17</v>
      </c>
    </row>
    <row r="133" spans="6:6" hidden="1">
      <c r="F133" s="87">
        <v>18</v>
      </c>
    </row>
    <row r="134" spans="6:6" hidden="1">
      <c r="F134" s="87">
        <v>19</v>
      </c>
    </row>
    <row r="135" spans="6:6" hidden="1">
      <c r="F135" s="87">
        <v>20</v>
      </c>
    </row>
    <row r="136" spans="6:6" hidden="1">
      <c r="F136" s="87">
        <v>21</v>
      </c>
    </row>
    <row r="137" spans="6:6" hidden="1">
      <c r="F137" s="87">
        <v>22</v>
      </c>
    </row>
    <row r="138" spans="6:6" hidden="1">
      <c r="F138" s="87">
        <v>23</v>
      </c>
    </row>
    <row r="139" spans="6:6" hidden="1">
      <c r="F139" s="87">
        <v>24</v>
      </c>
    </row>
    <row r="140" spans="6:6" hidden="1">
      <c r="F140" s="87">
        <v>25</v>
      </c>
    </row>
    <row r="141" spans="6:6" hidden="1">
      <c r="F141" s="87">
        <v>26</v>
      </c>
    </row>
    <row r="142" spans="6:6" hidden="1">
      <c r="F142" s="87">
        <v>27</v>
      </c>
    </row>
    <row r="143" spans="6:6" hidden="1">
      <c r="F143" s="87">
        <v>28</v>
      </c>
    </row>
    <row r="144" spans="6:6" hidden="1">
      <c r="F144" s="87">
        <v>29</v>
      </c>
    </row>
    <row r="145" spans="6:6" hidden="1">
      <c r="F145" s="87">
        <v>30</v>
      </c>
    </row>
    <row r="146" spans="6:6">
      <c r="F146" s="87"/>
    </row>
  </sheetData>
  <mergeCells count="26">
    <mergeCell ref="C69:D69"/>
    <mergeCell ref="D25:E25"/>
    <mergeCell ref="D27:E27"/>
    <mergeCell ref="D28:E28"/>
    <mergeCell ref="C66:E66"/>
    <mergeCell ref="G66:I66"/>
    <mergeCell ref="C67:E67"/>
    <mergeCell ref="G67:I67"/>
    <mergeCell ref="C18:D18"/>
    <mergeCell ref="C19:D19"/>
    <mergeCell ref="C20:D20"/>
    <mergeCell ref="C21:D21"/>
    <mergeCell ref="D22:E22"/>
    <mergeCell ref="D24:E24"/>
    <mergeCell ref="C10:D10"/>
    <mergeCell ref="C11:D11"/>
    <mergeCell ref="C12:D12"/>
    <mergeCell ref="C13:D13"/>
    <mergeCell ref="C16:D16"/>
    <mergeCell ref="C17:D17"/>
    <mergeCell ref="T2:T3"/>
    <mergeCell ref="C5:D5"/>
    <mergeCell ref="C6:D6"/>
    <mergeCell ref="C7:D7"/>
    <mergeCell ref="C8:D8"/>
    <mergeCell ref="C9:D9"/>
  </mergeCells>
  <dataValidations count="5">
    <dataValidation type="list" allowBlank="1" showInputMessage="1" showErrorMessage="1" sqref="C102:C105 D52 D47 D42" xr:uid="{CFD5C1A4-910B-426B-9BBB-154242E27ECB}">
      <formula1>$C$102:$C$105</formula1>
    </dataValidation>
    <dataValidation type="list" allowBlank="1" showInputMessage="1" showErrorMessage="1" sqref="D43 D48" xr:uid="{2C086A2A-BEE9-4A8C-8B7C-673080B44AE1}">
      <formula1>$D$102:$D$104</formula1>
    </dataValidation>
    <dataValidation showInputMessage="1" showErrorMessage="1" sqref="D53 D56" xr:uid="{56C52FFB-2A1C-4CE2-9DCE-988BC1D481B1}"/>
    <dataValidation type="list" allowBlank="1" showInputMessage="1" showErrorMessage="1" sqref="F46 F41 F55 F51" xr:uid="{5D492AD5-64A0-4D94-AE8C-182CA07C133C}">
      <formula1>$F$101:$F$102</formula1>
    </dataValidation>
    <dataValidation type="list" allowBlank="1" showInputMessage="1" showErrorMessage="1" sqref="F5" xr:uid="{CEBAD7A1-FB9A-4DDD-B76C-6275B1F95F60}">
      <formula1>$F$116:$F$145</formula1>
    </dataValidation>
  </dataValidations>
  <pageMargins left="0.7" right="0.7" top="0.75" bottom="0.75" header="0.3" footer="0.3"/>
  <pageSetup paperSize="9" scale="68" orientation="portrait" r:id="rId1"/>
  <colBreaks count="1" manualBreakCount="1">
    <brk id="10" min="1" max="87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45787-35F8-443B-8B72-12A9365D19D9}">
  <sheetPr codeName="Sheet2">
    <pageSetUpPr fitToPage="1"/>
  </sheetPr>
  <dimension ref="A1:AF146"/>
  <sheetViews>
    <sheetView view="pageBreakPreview" topLeftCell="B2" zoomScale="70" zoomScaleNormal="100" zoomScaleSheetLayoutView="70" workbookViewId="0">
      <selection activeCell="F65" sqref="F65"/>
    </sheetView>
  </sheetViews>
  <sheetFormatPr defaultColWidth="9.6640625" defaultRowHeight="17.399999999999999"/>
  <cols>
    <col min="1" max="1" width="2.88671875" style="34" hidden="1" customWidth="1"/>
    <col min="2" max="2" width="7.33203125" style="34" customWidth="1"/>
    <col min="3" max="3" width="41.5546875" style="34" customWidth="1"/>
    <col min="4" max="4" width="10.109375" style="34" customWidth="1"/>
    <col min="5" max="5" width="11.44140625" style="80" customWidth="1"/>
    <col min="6" max="6" width="18.6640625" style="94" customWidth="1"/>
    <col min="7" max="7" width="15.109375" style="80" customWidth="1"/>
    <col min="8" max="8" width="5.44140625" style="34" customWidth="1"/>
    <col min="9" max="9" width="14.5546875" style="155" customWidth="1"/>
    <col min="10" max="10" width="6.109375" style="34" customWidth="1"/>
    <col min="11" max="11" width="9.6640625" style="34"/>
    <col min="12" max="12" width="32.6640625" style="34" customWidth="1"/>
    <col min="13" max="13" width="18.33203125" style="34" customWidth="1"/>
    <col min="14" max="14" width="16.88671875" style="129" customWidth="1"/>
    <col min="15" max="15" width="12.88671875" style="34" customWidth="1"/>
    <col min="16" max="16" width="8.44140625" style="34" bestFit="1" customWidth="1"/>
    <col min="17" max="17" width="12.109375" style="34" customWidth="1"/>
    <col min="18" max="18" width="12.6640625" style="34" customWidth="1"/>
    <col min="19" max="21" width="9.6640625" style="34"/>
    <col min="22" max="23" width="12.44140625" style="34" bestFit="1" customWidth="1"/>
    <col min="24" max="30" width="9.6640625" style="34"/>
    <col min="31" max="31" width="10" style="34" customWidth="1"/>
    <col min="32" max="16384" width="9.6640625" style="34"/>
  </cols>
  <sheetData>
    <row r="1" spans="2:25" ht="11.4" hidden="1" customHeight="1">
      <c r="B1" s="9"/>
      <c r="C1" s="9"/>
      <c r="D1" s="33"/>
      <c r="E1" s="32"/>
      <c r="F1" s="87"/>
      <c r="G1" s="32"/>
      <c r="H1" s="32"/>
      <c r="I1" s="150"/>
      <c r="J1" s="9"/>
      <c r="K1" s="9"/>
      <c r="L1" s="9"/>
      <c r="M1" s="9"/>
      <c r="N1" s="30"/>
      <c r="O1" s="9"/>
      <c r="P1" s="9"/>
      <c r="Q1" s="9"/>
      <c r="R1" s="9"/>
      <c r="S1" s="9"/>
      <c r="T1" s="9"/>
    </row>
    <row r="2" spans="2:25" ht="24.6">
      <c r="B2" s="114" t="s">
        <v>79</v>
      </c>
      <c r="C2" s="114"/>
      <c r="D2" s="114"/>
      <c r="E2" s="113"/>
      <c r="F2" s="114"/>
      <c r="G2" s="113"/>
      <c r="H2" s="114"/>
      <c r="I2" s="151"/>
      <c r="J2" s="114"/>
      <c r="K2" s="35"/>
      <c r="L2" s="8" t="s">
        <v>139</v>
      </c>
      <c r="M2" s="9"/>
      <c r="N2" s="124"/>
      <c r="O2" s="9"/>
      <c r="P2" s="9"/>
      <c r="Q2" s="9"/>
      <c r="R2" s="9"/>
      <c r="S2" s="9"/>
      <c r="T2" s="191">
        <f>O5+O6</f>
        <v>100</v>
      </c>
    </row>
    <row r="3" spans="2:25" ht="12" customHeight="1">
      <c r="B3" s="36"/>
      <c r="C3" s="36"/>
      <c r="D3" s="37"/>
      <c r="E3" s="38"/>
      <c r="F3" s="88"/>
      <c r="G3" s="38"/>
      <c r="H3" s="38"/>
      <c r="I3" s="152"/>
      <c r="J3" s="36"/>
      <c r="K3" s="35"/>
      <c r="L3" s="9"/>
      <c r="M3" s="9"/>
      <c r="N3" s="124"/>
      <c r="O3" s="9"/>
      <c r="P3" s="9"/>
      <c r="Q3" s="9"/>
      <c r="R3" s="10" t="s">
        <v>39</v>
      </c>
      <c r="S3" s="10" t="s">
        <v>39</v>
      </c>
      <c r="T3" s="192"/>
      <c r="X3" s="34">
        <v>0.5</v>
      </c>
    </row>
    <row r="4" spans="2:25" ht="22.95" customHeight="1">
      <c r="B4" s="40" t="s">
        <v>81</v>
      </c>
      <c r="C4" s="41"/>
      <c r="D4" s="42"/>
      <c r="E4" s="43"/>
      <c r="F4" s="91"/>
      <c r="G4" s="123" t="s">
        <v>0</v>
      </c>
      <c r="H4" s="43"/>
      <c r="I4" s="153"/>
      <c r="J4" s="44"/>
      <c r="K4" s="35"/>
      <c r="L4" s="11" t="s">
        <v>40</v>
      </c>
      <c r="M4" s="11" t="s">
        <v>41</v>
      </c>
      <c r="N4" s="125" t="s">
        <v>42</v>
      </c>
      <c r="O4" s="12" t="s">
        <v>43</v>
      </c>
      <c r="P4" s="11" t="s">
        <v>44</v>
      </c>
      <c r="Q4" s="11" t="s">
        <v>45</v>
      </c>
      <c r="R4" s="11" t="s">
        <v>46</v>
      </c>
      <c r="S4" s="11" t="s">
        <v>46</v>
      </c>
      <c r="T4" s="166" t="s">
        <v>47</v>
      </c>
      <c r="U4" s="105" t="s">
        <v>140</v>
      </c>
      <c r="V4" s="105" t="s">
        <v>141</v>
      </c>
      <c r="W4" s="105" t="s">
        <v>142</v>
      </c>
      <c r="X4" s="34">
        <v>950</v>
      </c>
    </row>
    <row r="5" spans="2:25">
      <c r="B5" s="35"/>
      <c r="C5" s="195" t="s">
        <v>128</v>
      </c>
      <c r="D5" s="195"/>
      <c r="E5" s="172" t="s">
        <v>1</v>
      </c>
      <c r="F5" s="147">
        <v>5</v>
      </c>
      <c r="G5" s="173" t="s">
        <v>80</v>
      </c>
      <c r="H5" s="35"/>
      <c r="I5" s="154"/>
      <c r="J5" s="35"/>
      <c r="K5" s="35"/>
      <c r="L5" s="13" t="s">
        <v>48</v>
      </c>
      <c r="M5" s="14" t="s">
        <v>49</v>
      </c>
      <c r="N5" s="15">
        <v>1.1000000000000001</v>
      </c>
      <c r="O5" s="13">
        <v>65</v>
      </c>
      <c r="P5" s="16">
        <f t="shared" ref="P5:P18" si="0">O5/$O$23</f>
        <v>0.15612489991993594</v>
      </c>
      <c r="Q5" s="17">
        <f>O5/N5</f>
        <v>59.090909090909086</v>
      </c>
      <c r="R5" s="18">
        <f t="shared" ref="R5:R17" si="1">Q5/$Q$22</f>
        <v>0.36246772302943914</v>
      </c>
      <c r="S5" s="18">
        <f t="shared" ref="S5:S18" si="2">Q5/$Q$23</f>
        <v>0.25850373186744485</v>
      </c>
      <c r="T5" s="167">
        <f>O5/$T$2*100</f>
        <v>65</v>
      </c>
      <c r="U5" s="170">
        <f>T5</f>
        <v>65</v>
      </c>
      <c r="V5" s="105"/>
      <c r="W5" s="105"/>
    </row>
    <row r="6" spans="2:25">
      <c r="B6" s="9"/>
      <c r="C6" s="195" t="s">
        <v>82</v>
      </c>
      <c r="D6" s="195"/>
      <c r="E6" s="173" t="s">
        <v>10</v>
      </c>
      <c r="F6" s="174">
        <f>N22*1000</f>
        <v>1532.290475908143</v>
      </c>
      <c r="G6" s="173" t="s">
        <v>83</v>
      </c>
      <c r="H6" s="35"/>
      <c r="I6" s="154"/>
      <c r="J6" s="35"/>
      <c r="K6" s="35"/>
      <c r="L6" s="13" t="s">
        <v>50</v>
      </c>
      <c r="M6" s="14" t="s">
        <v>51</v>
      </c>
      <c r="N6" s="15">
        <v>1</v>
      </c>
      <c r="O6" s="13">
        <v>35</v>
      </c>
      <c r="P6" s="16">
        <f t="shared" si="0"/>
        <v>8.4067253803042433E-2</v>
      </c>
      <c r="Q6" s="17">
        <f>O6/N6</f>
        <v>35</v>
      </c>
      <c r="R6" s="18">
        <f t="shared" si="1"/>
        <v>0.21469242056359089</v>
      </c>
      <c r="S6" s="18">
        <f t="shared" si="2"/>
        <v>0.15311374887533274</v>
      </c>
      <c r="T6" s="167">
        <f t="shared" ref="T6:T18" si="3">O6/$T$2*100</f>
        <v>35</v>
      </c>
      <c r="U6" s="170">
        <f t="shared" ref="U6:U15" si="4">T6</f>
        <v>35</v>
      </c>
      <c r="V6" s="105"/>
      <c r="W6" s="105"/>
      <c r="Y6" s="34">
        <f>3.14*X3*X4/60</f>
        <v>24.858333333333334</v>
      </c>
    </row>
    <row r="7" spans="2:25">
      <c r="B7" s="9"/>
      <c r="C7" s="195" t="s">
        <v>84</v>
      </c>
      <c r="D7" s="195"/>
      <c r="E7" s="173"/>
      <c r="F7" s="85">
        <v>0.04</v>
      </c>
      <c r="G7" s="173" t="s">
        <v>85</v>
      </c>
      <c r="H7" s="35"/>
      <c r="I7" s="154"/>
      <c r="J7" s="35"/>
      <c r="K7" s="35"/>
      <c r="L7" s="13" t="s">
        <v>52</v>
      </c>
      <c r="M7" s="14" t="s">
        <v>53</v>
      </c>
      <c r="N7" s="15">
        <v>0.90600000000000003</v>
      </c>
      <c r="O7" s="13">
        <v>7</v>
      </c>
      <c r="P7" s="16">
        <f t="shared" si="0"/>
        <v>1.6813450760608487E-2</v>
      </c>
      <c r="Q7" s="17">
        <f>O7/N7</f>
        <v>7.7262693156732887</v>
      </c>
      <c r="R7" s="18">
        <f t="shared" si="1"/>
        <v>4.7393470323088494E-2</v>
      </c>
      <c r="S7" s="18">
        <f t="shared" si="2"/>
        <v>3.3799944564091113E-2</v>
      </c>
      <c r="T7" s="167">
        <f t="shared" si="3"/>
        <v>7.0000000000000009</v>
      </c>
      <c r="U7" s="170">
        <f t="shared" si="4"/>
        <v>7.0000000000000009</v>
      </c>
      <c r="V7" s="105"/>
      <c r="W7" s="105"/>
    </row>
    <row r="8" spans="2:25">
      <c r="B8" s="9"/>
      <c r="C8" s="195" t="s">
        <v>130</v>
      </c>
      <c r="D8" s="195"/>
      <c r="E8" s="173" t="s">
        <v>5</v>
      </c>
      <c r="F8" s="85">
        <v>1000</v>
      </c>
      <c r="G8" s="173" t="s">
        <v>85</v>
      </c>
      <c r="H8" s="35"/>
      <c r="I8" s="154"/>
      <c r="J8" s="35"/>
      <c r="K8" s="35"/>
      <c r="L8" s="19" t="s">
        <v>54</v>
      </c>
      <c r="M8" s="14" t="s">
        <v>55</v>
      </c>
      <c r="N8" s="15">
        <v>1.04</v>
      </c>
      <c r="O8" s="13">
        <v>1.2</v>
      </c>
      <c r="P8" s="16">
        <f t="shared" si="0"/>
        <v>2.8823058446757403E-3</v>
      </c>
      <c r="Q8" s="17">
        <f t="shared" ref="Q8:Q18" si="5">O8/N8</f>
        <v>1.1538461538461537</v>
      </c>
      <c r="R8" s="18">
        <f t="shared" si="1"/>
        <v>7.0777721064920066E-3</v>
      </c>
      <c r="S8" s="18">
        <f t="shared" si="2"/>
        <v>5.0477060068791013E-3</v>
      </c>
      <c r="T8" s="167">
        <f t="shared" si="3"/>
        <v>1.2</v>
      </c>
      <c r="U8" s="170">
        <f t="shared" si="4"/>
        <v>1.2</v>
      </c>
      <c r="V8" s="105"/>
      <c r="W8" s="105"/>
    </row>
    <row r="9" spans="2:25" ht="16.95" customHeight="1">
      <c r="B9" s="9"/>
      <c r="C9" s="197" t="s">
        <v>134</v>
      </c>
      <c r="D9" s="198"/>
      <c r="E9" s="121"/>
      <c r="F9" s="119">
        <v>4000</v>
      </c>
      <c r="G9" s="148" t="s">
        <v>86</v>
      </c>
      <c r="H9" s="9"/>
      <c r="I9" s="150"/>
      <c r="J9" s="9"/>
      <c r="K9" s="35"/>
      <c r="L9" s="13" t="s">
        <v>56</v>
      </c>
      <c r="M9" s="14" t="s">
        <v>57</v>
      </c>
      <c r="N9" s="15">
        <v>1.095</v>
      </c>
      <c r="O9" s="13">
        <v>4</v>
      </c>
      <c r="P9" s="16">
        <f t="shared" si="0"/>
        <v>9.6076861489191347E-3</v>
      </c>
      <c r="Q9" s="17">
        <f t="shared" si="5"/>
        <v>3.6529680365296806</v>
      </c>
      <c r="R9" s="18">
        <f t="shared" si="1"/>
        <v>2.2407558571542429E-2</v>
      </c>
      <c r="S9" s="18">
        <f t="shared" si="2"/>
        <v>1.5980560874137795E-2</v>
      </c>
      <c r="T9" s="167">
        <f t="shared" si="3"/>
        <v>4</v>
      </c>
      <c r="U9" s="170">
        <f t="shared" si="4"/>
        <v>4</v>
      </c>
      <c r="V9" s="105"/>
      <c r="W9" s="105"/>
    </row>
    <row r="10" spans="2:25">
      <c r="B10" s="9"/>
      <c r="C10" s="197" t="s">
        <v>87</v>
      </c>
      <c r="D10" s="198"/>
      <c r="E10" s="121"/>
      <c r="F10" s="120">
        <v>0.4</v>
      </c>
      <c r="G10" s="148"/>
      <c r="H10" s="35"/>
      <c r="I10" s="154"/>
      <c r="J10" s="35"/>
      <c r="K10" s="35"/>
      <c r="L10" s="19" t="s">
        <v>58</v>
      </c>
      <c r="M10" s="14" t="s">
        <v>59</v>
      </c>
      <c r="N10" s="15">
        <v>2.0499999999999998</v>
      </c>
      <c r="O10" s="13">
        <v>4</v>
      </c>
      <c r="P10" s="16">
        <f t="shared" si="0"/>
        <v>9.6076861489191347E-3</v>
      </c>
      <c r="Q10" s="17">
        <f t="shared" si="5"/>
        <v>1.9512195121951221</v>
      </c>
      <c r="R10" s="18">
        <f t="shared" si="1"/>
        <v>1.1968915432116567E-2</v>
      </c>
      <c r="S10" s="18">
        <f t="shared" si="2"/>
        <v>8.5359581254540913E-3</v>
      </c>
      <c r="T10" s="167">
        <f t="shared" si="3"/>
        <v>4</v>
      </c>
      <c r="U10" s="170"/>
      <c r="V10" s="170">
        <f>T10</f>
        <v>4</v>
      </c>
      <c r="W10" s="105"/>
    </row>
    <row r="11" spans="2:25">
      <c r="B11" s="9"/>
      <c r="C11" s="199" t="s">
        <v>6</v>
      </c>
      <c r="D11" s="200"/>
      <c r="E11" s="173" t="s">
        <v>7</v>
      </c>
      <c r="F11" s="171">
        <v>2.5</v>
      </c>
      <c r="G11" s="175" t="s">
        <v>129</v>
      </c>
      <c r="H11" s="9"/>
      <c r="I11" s="150"/>
      <c r="J11" s="35"/>
      <c r="K11" s="35"/>
      <c r="L11" s="13" t="s">
        <v>60</v>
      </c>
      <c r="M11" s="14" t="s">
        <v>61</v>
      </c>
      <c r="N11" s="15">
        <v>1.2</v>
      </c>
      <c r="O11" s="13"/>
      <c r="P11" s="16">
        <f t="shared" si="0"/>
        <v>0</v>
      </c>
      <c r="Q11" s="17">
        <f t="shared" si="5"/>
        <v>0</v>
      </c>
      <c r="R11" s="18">
        <f t="shared" si="1"/>
        <v>0</v>
      </c>
      <c r="S11" s="18">
        <f t="shared" si="2"/>
        <v>0</v>
      </c>
      <c r="T11" s="167">
        <f t="shared" si="3"/>
        <v>0</v>
      </c>
      <c r="U11" s="170">
        <f t="shared" si="4"/>
        <v>0</v>
      </c>
      <c r="V11" s="105"/>
      <c r="W11" s="105"/>
    </row>
    <row r="12" spans="2:25">
      <c r="B12" s="9"/>
      <c r="C12" s="199" t="s">
        <v>8</v>
      </c>
      <c r="D12" s="200"/>
      <c r="E12" s="173" t="s">
        <v>9</v>
      </c>
      <c r="F12" s="122">
        <v>10000</v>
      </c>
      <c r="G12" s="176" t="s">
        <v>131</v>
      </c>
      <c r="H12" s="9"/>
      <c r="I12" s="150"/>
      <c r="J12" s="35"/>
      <c r="K12" s="35"/>
      <c r="L12" s="19" t="s">
        <v>62</v>
      </c>
      <c r="M12" s="14" t="s">
        <v>63</v>
      </c>
      <c r="N12" s="15">
        <v>0.95799999999999996</v>
      </c>
      <c r="O12" s="13">
        <v>4</v>
      </c>
      <c r="P12" s="16">
        <f t="shared" si="0"/>
        <v>9.6076861489191347E-3</v>
      </c>
      <c r="Q12" s="17">
        <f t="shared" si="5"/>
        <v>4.1753653444676413</v>
      </c>
      <c r="R12" s="18">
        <f t="shared" si="1"/>
        <v>2.561197978688827E-2</v>
      </c>
      <c r="S12" s="18">
        <f t="shared" si="2"/>
        <v>1.8265881166159591E-2</v>
      </c>
      <c r="T12" s="167">
        <f t="shared" si="3"/>
        <v>4</v>
      </c>
      <c r="U12" s="170">
        <f t="shared" si="4"/>
        <v>4</v>
      </c>
      <c r="V12" s="105"/>
      <c r="W12" s="105"/>
    </row>
    <row r="13" spans="2:25">
      <c r="B13" s="9"/>
      <c r="C13" s="199" t="s">
        <v>11</v>
      </c>
      <c r="D13" s="200"/>
      <c r="E13" s="173" t="s">
        <v>12</v>
      </c>
      <c r="F13" s="122">
        <v>50</v>
      </c>
      <c r="G13" s="175" t="s">
        <v>129</v>
      </c>
      <c r="H13" s="9"/>
      <c r="I13" s="150"/>
      <c r="J13" s="35"/>
      <c r="K13" s="35"/>
      <c r="L13" s="13" t="s">
        <v>64</v>
      </c>
      <c r="M13" s="14" t="s">
        <v>65</v>
      </c>
      <c r="N13" s="15">
        <v>1.2</v>
      </c>
      <c r="O13" s="13">
        <v>0.4</v>
      </c>
      <c r="P13" s="16">
        <f t="shared" si="0"/>
        <v>9.6076861489191351E-4</v>
      </c>
      <c r="Q13" s="17">
        <f t="shared" si="5"/>
        <v>0.33333333333333337</v>
      </c>
      <c r="R13" s="18">
        <f t="shared" si="1"/>
        <v>2.0446897196532469E-3</v>
      </c>
      <c r="S13" s="18">
        <f t="shared" si="2"/>
        <v>1.4582261797650739E-3</v>
      </c>
      <c r="T13" s="167">
        <f t="shared" si="3"/>
        <v>0.4</v>
      </c>
      <c r="U13" s="170">
        <f t="shared" si="4"/>
        <v>0.4</v>
      </c>
      <c r="V13" s="105"/>
      <c r="W13" s="105"/>
    </row>
    <row r="14" spans="2:25" ht="16.95" customHeight="1">
      <c r="K14" s="35"/>
      <c r="L14" s="13" t="s">
        <v>66</v>
      </c>
      <c r="M14" s="14" t="s">
        <v>67</v>
      </c>
      <c r="N14" s="15">
        <v>1.0149999999999999</v>
      </c>
      <c r="O14" s="13">
        <v>1</v>
      </c>
      <c r="P14" s="16">
        <f t="shared" si="0"/>
        <v>2.4019215372297837E-3</v>
      </c>
      <c r="Q14" s="17">
        <f t="shared" si="5"/>
        <v>0.98522167487684742</v>
      </c>
      <c r="R14" s="18">
        <f t="shared" si="1"/>
        <v>6.04341789060073E-3</v>
      </c>
      <c r="S14" s="18">
        <f t="shared" si="2"/>
        <v>4.3100281175322379E-3</v>
      </c>
      <c r="T14" s="167">
        <f t="shared" si="3"/>
        <v>1</v>
      </c>
      <c r="U14" s="170">
        <f t="shared" si="4"/>
        <v>1</v>
      </c>
      <c r="V14" s="105"/>
      <c r="W14" s="105"/>
    </row>
    <row r="15" spans="2:25" ht="16.95" customHeight="1">
      <c r="B15" s="35"/>
      <c r="C15" s="35"/>
      <c r="D15" s="35"/>
      <c r="E15" s="35"/>
      <c r="F15" s="35"/>
      <c r="G15" s="35"/>
      <c r="H15" s="35"/>
      <c r="I15" s="154"/>
      <c r="J15" s="35"/>
      <c r="K15" s="35"/>
      <c r="L15" s="13" t="s">
        <v>68</v>
      </c>
      <c r="M15" s="14" t="s">
        <v>69</v>
      </c>
      <c r="N15" s="15">
        <v>1.0349999999999999</v>
      </c>
      <c r="O15" s="13">
        <v>1</v>
      </c>
      <c r="P15" s="16">
        <f t="shared" si="0"/>
        <v>2.4019215372297837E-3</v>
      </c>
      <c r="Q15" s="17">
        <f t="shared" si="5"/>
        <v>0.96618357487922713</v>
      </c>
      <c r="R15" s="18">
        <f t="shared" si="1"/>
        <v>5.9266368685601352E-3</v>
      </c>
      <c r="S15" s="18">
        <f t="shared" si="2"/>
        <v>4.2267425500436924E-3</v>
      </c>
      <c r="T15" s="167">
        <f t="shared" si="3"/>
        <v>1</v>
      </c>
      <c r="U15" s="170">
        <f t="shared" si="4"/>
        <v>1</v>
      </c>
      <c r="V15" s="105"/>
      <c r="W15" s="105"/>
    </row>
    <row r="16" spans="2:25" ht="16.95" customHeight="1">
      <c r="B16" s="35"/>
      <c r="C16" s="186" t="s">
        <v>14</v>
      </c>
      <c r="D16" s="187"/>
      <c r="E16" s="6" t="s">
        <v>1</v>
      </c>
      <c r="F16" s="93">
        <f>F5/60</f>
        <v>8.3333333333333329E-2</v>
      </c>
      <c r="G16" s="82" t="s">
        <v>132</v>
      </c>
      <c r="J16" s="35"/>
      <c r="K16" s="35"/>
      <c r="L16" s="13" t="s">
        <v>70</v>
      </c>
      <c r="M16" s="14" t="s">
        <v>71</v>
      </c>
      <c r="N16" s="15">
        <v>2.7</v>
      </c>
      <c r="O16" s="13">
        <v>125</v>
      </c>
      <c r="P16" s="16">
        <f t="shared" si="0"/>
        <v>0.30024019215372294</v>
      </c>
      <c r="Q16" s="17">
        <f t="shared" si="5"/>
        <v>46.296296296296291</v>
      </c>
      <c r="R16" s="18">
        <f t="shared" si="1"/>
        <v>0.28398468328517312</v>
      </c>
      <c r="S16" s="18">
        <f t="shared" si="2"/>
        <v>0.20253141385626022</v>
      </c>
      <c r="T16" s="167">
        <f t="shared" si="3"/>
        <v>125</v>
      </c>
      <c r="U16" s="170">
        <f>T16</f>
        <v>125</v>
      </c>
      <c r="V16" s="105"/>
      <c r="W16" s="105"/>
    </row>
    <row r="17" spans="1:24" ht="16.95" customHeight="1">
      <c r="B17" s="9"/>
      <c r="C17" s="179" t="s">
        <v>15</v>
      </c>
      <c r="D17" s="180"/>
      <c r="E17" s="131"/>
      <c r="F17" s="93">
        <f>F69/1000</f>
        <v>2.3511237769624246E-3</v>
      </c>
      <c r="G17" s="6" t="s">
        <v>16</v>
      </c>
      <c r="J17" s="35"/>
      <c r="K17" s="35"/>
      <c r="L17" s="13" t="s">
        <v>72</v>
      </c>
      <c r="M17" s="20" t="s">
        <v>73</v>
      </c>
      <c r="N17" s="15">
        <v>1.3</v>
      </c>
      <c r="O17" s="13">
        <v>2.2000000000000002</v>
      </c>
      <c r="P17" s="16">
        <f t="shared" si="0"/>
        <v>5.2842273819055244E-3</v>
      </c>
      <c r="Q17" s="17">
        <f t="shared" si="5"/>
        <v>1.6923076923076923</v>
      </c>
      <c r="R17" s="18">
        <f t="shared" si="1"/>
        <v>1.0380732422854944E-2</v>
      </c>
      <c r="S17" s="18">
        <f t="shared" si="2"/>
        <v>7.4033021434226822E-3</v>
      </c>
      <c r="T17" s="167">
        <f t="shared" si="3"/>
        <v>2.2000000000000002</v>
      </c>
      <c r="U17" s="170"/>
      <c r="V17" s="105"/>
      <c r="W17" s="170">
        <f>T17</f>
        <v>2.2000000000000002</v>
      </c>
    </row>
    <row r="18" spans="1:24" ht="16.95" customHeight="1">
      <c r="A18" s="9"/>
      <c r="B18" s="9"/>
      <c r="C18" s="186" t="s">
        <v>17</v>
      </c>
      <c r="D18" s="187"/>
      <c r="E18" s="82" t="s">
        <v>5</v>
      </c>
      <c r="F18" s="93">
        <f>F8/1000</f>
        <v>1</v>
      </c>
      <c r="G18" s="82" t="s">
        <v>133</v>
      </c>
      <c r="I18" s="150"/>
      <c r="J18" s="35"/>
      <c r="K18" s="35"/>
      <c r="L18" s="13" t="s">
        <v>74</v>
      </c>
      <c r="M18" s="13" t="s">
        <v>75</v>
      </c>
      <c r="N18" s="15">
        <v>2.54</v>
      </c>
      <c r="O18" s="21">
        <f>R26</f>
        <v>166.53333333333336</v>
      </c>
      <c r="P18" s="16">
        <f t="shared" si="0"/>
        <v>0.4</v>
      </c>
      <c r="Q18" s="17">
        <f t="shared" si="5"/>
        <v>65.564304461942271</v>
      </c>
      <c r="R18" s="18"/>
      <c r="S18" s="18">
        <f t="shared" si="2"/>
        <v>0.28682275567347676</v>
      </c>
      <c r="T18" s="167">
        <f t="shared" si="3"/>
        <v>166.53333333333336</v>
      </c>
      <c r="U18" s="105"/>
      <c r="V18" s="105"/>
      <c r="W18" s="105"/>
    </row>
    <row r="19" spans="1:24" ht="16.95" customHeight="1">
      <c r="A19" s="9"/>
      <c r="B19" s="9"/>
      <c r="C19" s="186" t="s">
        <v>18</v>
      </c>
      <c r="D19" s="187"/>
      <c r="E19" s="22" t="s">
        <v>7</v>
      </c>
      <c r="F19" s="93">
        <f>F11/1000</f>
        <v>2.5000000000000001E-3</v>
      </c>
      <c r="G19" s="82" t="s">
        <v>133</v>
      </c>
      <c r="H19" s="9"/>
      <c r="I19" s="150"/>
      <c r="J19" s="35"/>
      <c r="K19" s="35"/>
      <c r="L19" s="140"/>
      <c r="M19" s="140"/>
      <c r="N19" s="141"/>
      <c r="O19" s="142"/>
      <c r="P19" s="143"/>
      <c r="Q19" s="31"/>
      <c r="R19" s="144"/>
      <c r="S19" s="144"/>
      <c r="T19" s="31"/>
      <c r="U19" s="31"/>
      <c r="V19" s="31"/>
      <c r="W19" s="31"/>
    </row>
    <row r="20" spans="1:24" ht="16.95" customHeight="1">
      <c r="A20" s="9"/>
      <c r="B20" s="9"/>
      <c r="C20" s="186" t="s">
        <v>19</v>
      </c>
      <c r="D20" s="187"/>
      <c r="E20" s="82"/>
      <c r="F20" s="86">
        <f>F12/1000</f>
        <v>10</v>
      </c>
      <c r="G20" s="82" t="s">
        <v>20</v>
      </c>
      <c r="J20" s="35"/>
      <c r="K20" s="35"/>
      <c r="L20" s="9"/>
      <c r="M20" s="9"/>
      <c r="N20" s="30"/>
      <c r="O20" s="9"/>
      <c r="P20" s="9"/>
      <c r="Q20" s="9"/>
      <c r="R20" s="9"/>
      <c r="S20" s="9"/>
      <c r="T20" s="9"/>
      <c r="U20" s="9"/>
      <c r="V20" s="9"/>
      <c r="W20" s="9"/>
    </row>
    <row r="21" spans="1:24" ht="16.95" customHeight="1">
      <c r="A21" s="9"/>
      <c r="B21" s="9"/>
      <c r="C21" s="186" t="s">
        <v>21</v>
      </c>
      <c r="D21" s="187"/>
      <c r="E21" s="82"/>
      <c r="F21" s="93">
        <f>F13/1000</f>
        <v>0.05</v>
      </c>
      <c r="G21" s="82" t="s">
        <v>133</v>
      </c>
      <c r="J21" s="35"/>
      <c r="K21" s="35"/>
      <c r="L21" s="9"/>
      <c r="M21" s="9"/>
      <c r="N21" s="30"/>
      <c r="O21" s="9"/>
      <c r="P21" s="9"/>
      <c r="Q21" s="9"/>
      <c r="R21" s="9"/>
      <c r="S21" s="9"/>
      <c r="T21" s="9"/>
      <c r="U21" s="177">
        <f>U22/(U22+V22+W22)</f>
        <v>0.9751801441152923</v>
      </c>
      <c r="V21" s="178">
        <f>V22/(U22+V22+W22)</f>
        <v>1.6012810248198558E-2</v>
      </c>
      <c r="W21" s="178">
        <f>W22/(U22+V22+W22)</f>
        <v>8.8070456365092076E-3</v>
      </c>
    </row>
    <row r="22" spans="1:24" ht="16.95" customHeight="1">
      <c r="A22" s="35"/>
      <c r="B22" s="9"/>
      <c r="C22" s="139" t="s">
        <v>22</v>
      </c>
      <c r="D22" s="196" t="s">
        <v>23</v>
      </c>
      <c r="E22" s="196"/>
      <c r="F22" s="86">
        <f>F6*9.81*F21</f>
        <v>751.58847843294416</v>
      </c>
      <c r="G22" s="82" t="s">
        <v>24</v>
      </c>
      <c r="H22" s="134" t="s">
        <v>25</v>
      </c>
      <c r="J22" s="35"/>
      <c r="K22" s="35"/>
      <c r="L22" s="22" t="s">
        <v>76</v>
      </c>
      <c r="M22" s="22"/>
      <c r="N22" s="126">
        <f>N5*R5+N6*R6+N7*R7+N8*R8+N9*R9+N10*R10+N11*R11+N12*R12+N13*R13+N14*R14+N15*R15+N16*R16+N17*R17</f>
        <v>1.532290475908143</v>
      </c>
      <c r="O22" s="23">
        <f>SUM(O5:O17)</f>
        <v>249.8</v>
      </c>
      <c r="P22" s="16">
        <f>O22/$O$23</f>
        <v>0.6</v>
      </c>
      <c r="Q22" s="17">
        <f>SUM(Q5:Q17)</f>
        <v>163.02392002531437</v>
      </c>
      <c r="R22" s="18">
        <f>Q22/$Q$22</f>
        <v>1</v>
      </c>
      <c r="S22" s="18"/>
      <c r="T22" s="167">
        <f>O22/$T$2*100</f>
        <v>249.8</v>
      </c>
      <c r="U22" s="105">
        <f>SUM(U5:U18)</f>
        <v>243.60000000000002</v>
      </c>
      <c r="V22" s="105">
        <f>SUM(V5:V18)</f>
        <v>4</v>
      </c>
      <c r="W22" s="105">
        <f t="shared" ref="W22" si="6">SUM(W5:W18)</f>
        <v>2.2000000000000002</v>
      </c>
    </row>
    <row r="23" spans="1:24" ht="16.95" customHeight="1">
      <c r="A23" s="49"/>
      <c r="B23" s="9"/>
      <c r="C23" s="39"/>
      <c r="D23" s="80"/>
      <c r="F23" s="145"/>
      <c r="J23" s="35"/>
      <c r="K23" s="35"/>
      <c r="L23" s="22" t="s">
        <v>77</v>
      </c>
      <c r="M23" s="22"/>
      <c r="N23" s="127">
        <f>N5*S5+N6*S6+N7*S7+N8*S8+N9*S9+N10*S10+N11*S11+N12*S12+N13*S13+N14*S14+N15*S15+N16*S16+N17*S17+N18*S18</f>
        <v>1.8213244985265771</v>
      </c>
      <c r="O23" s="24">
        <f>SUM(O5:O18)</f>
        <v>416.33333333333337</v>
      </c>
      <c r="P23" s="25">
        <f>O23/$O$23</f>
        <v>1</v>
      </c>
      <c r="Q23" s="26">
        <f>SUM(Q5:Q18)</f>
        <v>228.58822448725664</v>
      </c>
      <c r="R23" s="10"/>
      <c r="S23" s="27">
        <f>SUM(S5:S18)</f>
        <v>1</v>
      </c>
      <c r="T23" s="26">
        <f>SUM(T5:T18)</f>
        <v>416.33333333333337</v>
      </c>
    </row>
    <row r="24" spans="1:24" ht="16.95" customHeight="1">
      <c r="A24" s="49"/>
      <c r="B24" s="9"/>
      <c r="C24" s="2" t="s">
        <v>26</v>
      </c>
      <c r="D24" s="181" t="s">
        <v>27</v>
      </c>
      <c r="E24" s="182"/>
      <c r="F24" s="128" t="s">
        <v>13</v>
      </c>
      <c r="G24" s="7" t="s">
        <v>0</v>
      </c>
      <c r="J24" s="35"/>
      <c r="K24" s="35"/>
      <c r="L24" s="9"/>
      <c r="M24" s="9"/>
      <c r="N24" s="30"/>
      <c r="O24" s="9"/>
      <c r="P24" s="9"/>
      <c r="Q24" s="9"/>
      <c r="R24" s="9"/>
      <c r="S24" s="9"/>
      <c r="T24" s="9"/>
    </row>
    <row r="25" spans="1:24" ht="16.95" customHeight="1">
      <c r="A25" s="49"/>
      <c r="B25" s="9"/>
      <c r="C25" s="3" t="s">
        <v>28</v>
      </c>
      <c r="D25" s="193" t="s">
        <v>29</v>
      </c>
      <c r="E25" s="194"/>
      <c r="F25" s="132">
        <f>(F16*F17)/2</f>
        <v>9.7963490706767684E-5</v>
      </c>
      <c r="G25" s="6" t="s">
        <v>30</v>
      </c>
      <c r="I25" s="156"/>
      <c r="J25" s="35"/>
      <c r="K25" s="35"/>
      <c r="L25" s="9"/>
      <c r="M25" s="9"/>
      <c r="N25" s="30"/>
      <c r="O25" s="9"/>
      <c r="P25" s="10" t="s">
        <v>78</v>
      </c>
      <c r="Q25" s="28">
        <f>100%-F10</f>
        <v>0.6</v>
      </c>
      <c r="R25" s="29">
        <f>O22</f>
        <v>249.8</v>
      </c>
      <c r="S25" s="9"/>
      <c r="T25" s="168" t="s">
        <v>143</v>
      </c>
      <c r="U25" s="105" t="s">
        <v>143</v>
      </c>
      <c r="V25" s="105" t="s">
        <v>141</v>
      </c>
      <c r="W25" s="105" t="s">
        <v>142</v>
      </c>
    </row>
    <row r="26" spans="1:24" ht="16.95" customHeight="1">
      <c r="A26" s="49"/>
      <c r="B26" s="9"/>
      <c r="C26" s="3" t="s">
        <v>31</v>
      </c>
      <c r="D26" s="163" t="s">
        <v>32</v>
      </c>
      <c r="E26" s="163"/>
      <c r="F26" s="132">
        <f>((F17^3)/(12*F20*F19))*F22</f>
        <v>3.2560070742966362E-5</v>
      </c>
      <c r="G26" s="6" t="s">
        <v>30</v>
      </c>
      <c r="I26" s="156"/>
      <c r="J26" s="35"/>
      <c r="K26" s="35"/>
      <c r="L26" s="9"/>
      <c r="M26" s="9"/>
      <c r="N26" s="30"/>
      <c r="O26" s="9"/>
      <c r="P26" s="10" t="s">
        <v>135</v>
      </c>
      <c r="Q26" s="28">
        <f>1-Q25</f>
        <v>0.4</v>
      </c>
      <c r="R26" s="17">
        <f>Q26*R25/Q25</f>
        <v>166.53333333333336</v>
      </c>
      <c r="S26" s="9"/>
      <c r="T26" s="168" t="s">
        <v>144</v>
      </c>
      <c r="U26" s="105"/>
      <c r="V26" s="168" t="s">
        <v>145</v>
      </c>
      <c r="W26" s="168" t="s">
        <v>145</v>
      </c>
    </row>
    <row r="27" spans="1:24" ht="16.95" customHeight="1">
      <c r="A27" s="49"/>
      <c r="B27" s="9"/>
      <c r="C27" s="3" t="s">
        <v>33</v>
      </c>
      <c r="D27" s="193" t="s">
        <v>34</v>
      </c>
      <c r="E27" s="194"/>
      <c r="F27" s="132">
        <f>(F25+F26)*F18</f>
        <v>1.3052356144973405E-4</v>
      </c>
      <c r="G27" s="6" t="s">
        <v>35</v>
      </c>
      <c r="H27" s="134"/>
      <c r="I27" s="156"/>
      <c r="J27" s="35"/>
      <c r="K27" s="35"/>
      <c r="L27" s="9"/>
      <c r="M27" s="9"/>
      <c r="N27" s="30"/>
      <c r="O27" s="9"/>
      <c r="P27" s="9"/>
      <c r="Q27" s="109"/>
      <c r="R27" s="31"/>
      <c r="S27" s="9"/>
      <c r="T27" s="169">
        <v>20</v>
      </c>
      <c r="U27" s="170">
        <f>$T$27*U22/T22</f>
        <v>19.503602882305845</v>
      </c>
      <c r="V27" s="170">
        <f>T27*V22/T22*1000</f>
        <v>320.25620496397119</v>
      </c>
      <c r="W27" s="170">
        <f>T27*W22/T22*1000</f>
        <v>176.14091273018414</v>
      </c>
    </row>
    <row r="28" spans="1:24" ht="16.95" customHeight="1">
      <c r="A28" s="49"/>
      <c r="B28" s="9"/>
      <c r="C28" s="3" t="s">
        <v>36</v>
      </c>
      <c r="D28" s="193" t="s">
        <v>37</v>
      </c>
      <c r="E28" s="194"/>
      <c r="F28" s="132">
        <f>F27*60000</f>
        <v>7.8314136869840425</v>
      </c>
      <c r="G28" s="6" t="s">
        <v>38</v>
      </c>
      <c r="H28" s="134"/>
      <c r="I28" s="156"/>
      <c r="J28" s="35"/>
      <c r="K28" s="35"/>
      <c r="L28" s="9"/>
      <c r="M28" s="9"/>
      <c r="N28" s="30"/>
      <c r="O28" s="9"/>
      <c r="P28" s="9"/>
      <c r="Q28" s="109"/>
      <c r="R28" s="31"/>
      <c r="S28" s="9"/>
      <c r="T28" s="9"/>
      <c r="U28" s="9"/>
      <c r="V28" s="9"/>
      <c r="W28" s="9"/>
      <c r="X28" s="9"/>
    </row>
    <row r="29" spans="1:24" ht="16.95" customHeight="1">
      <c r="A29" s="49"/>
      <c r="B29" s="9"/>
      <c r="D29" s="164"/>
      <c r="E29" s="165"/>
      <c r="H29" s="134"/>
      <c r="I29" s="156"/>
      <c r="J29" s="35"/>
      <c r="K29" s="35"/>
      <c r="L29" s="9"/>
      <c r="M29" s="9"/>
      <c r="N29" s="30"/>
      <c r="O29" s="9"/>
      <c r="P29" s="9"/>
      <c r="Q29" s="109"/>
      <c r="R29" s="31"/>
      <c r="S29" s="9"/>
      <c r="T29" s="9"/>
      <c r="X29"/>
    </row>
    <row r="30" spans="1:24" ht="16.95" customHeight="1">
      <c r="A30" s="49"/>
      <c r="B30" s="9"/>
      <c r="C30" s="48" t="str">
        <f>"SMC Paste/(1Mx"&amp;F8/1000&amp;"M)"</f>
        <v>SMC Paste/(1Mx1M)</v>
      </c>
      <c r="D30" s="112"/>
      <c r="E30" s="110"/>
      <c r="F30" s="86">
        <f>F28*F6/F5</f>
        <v>2400.0001210924647</v>
      </c>
      <c r="G30" s="82" t="s">
        <v>136</v>
      </c>
      <c r="H30" s="108"/>
      <c r="J30" s="35"/>
      <c r="K30" s="35"/>
      <c r="L30" s="9"/>
      <c r="M30" s="9"/>
      <c r="N30" s="30"/>
      <c r="O30" s="9"/>
      <c r="P30" s="9"/>
      <c r="Q30" s="9"/>
      <c r="R30" s="9"/>
      <c r="S30" s="9"/>
      <c r="T30" s="9"/>
    </row>
    <row r="31" spans="1:24" ht="16.95" customHeight="1">
      <c r="A31" s="49"/>
      <c r="B31" s="9"/>
      <c r="C31" s="48" t="str">
        <f>"Glass Weight/(1Mx"&amp;F8/1000&amp;"M)"</f>
        <v>Glass Weight/(1Mx1M)</v>
      </c>
      <c r="D31" s="112"/>
      <c r="E31" s="110"/>
      <c r="F31" s="86">
        <f>F30*F10/(1-F10)</f>
        <v>1600.00008072831</v>
      </c>
      <c r="G31" s="82" t="s">
        <v>136</v>
      </c>
      <c r="H31" s="108"/>
      <c r="J31" s="35"/>
      <c r="K31" s="35"/>
      <c r="L31" s="9"/>
      <c r="M31" s="9"/>
      <c r="N31" s="30"/>
      <c r="O31" s="9"/>
      <c r="P31" s="9"/>
      <c r="Q31" s="9"/>
      <c r="R31" s="9"/>
      <c r="S31" s="9"/>
      <c r="T31" s="9"/>
    </row>
    <row r="32" spans="1:24" ht="16.95" customHeight="1">
      <c r="A32" s="49"/>
      <c r="B32" s="9"/>
      <c r="C32" s="48" t="str">
        <f>"SMC Weight/(1Mx"&amp;F8/1000&amp;"M)"</f>
        <v>SMC Weight/(1Mx1M)</v>
      </c>
      <c r="D32" s="112"/>
      <c r="E32" s="110"/>
      <c r="F32" s="86">
        <f>F30+F31</f>
        <v>4000.0002018207747</v>
      </c>
      <c r="G32" s="82" t="s">
        <v>136</v>
      </c>
      <c r="H32" s="108"/>
      <c r="J32" s="35"/>
      <c r="K32" s="35"/>
      <c r="L32" s="9"/>
      <c r="M32" s="9"/>
      <c r="N32" s="124"/>
      <c r="O32" s="9"/>
      <c r="S32" s="30"/>
      <c r="T32" s="9"/>
    </row>
    <row r="33" spans="1:25">
      <c r="A33" s="49"/>
      <c r="B33" s="9"/>
      <c r="C33" s="1"/>
      <c r="D33" s="106"/>
      <c r="E33" s="5"/>
      <c r="F33" s="107"/>
      <c r="G33" s="5"/>
      <c r="H33" s="108"/>
      <c r="J33" s="35"/>
      <c r="K33" s="35"/>
      <c r="R33" s="31"/>
      <c r="S33" s="31"/>
      <c r="T33" s="9"/>
    </row>
    <row r="34" spans="1:25">
      <c r="A34" s="49"/>
      <c r="B34" s="9"/>
      <c r="C34" s="48" t="str">
        <f>"SMC Paste/(1MxM) Conversion"</f>
        <v>SMC Paste/(1MxM) Conversion</v>
      </c>
      <c r="D34" s="112"/>
      <c r="E34" s="81"/>
      <c r="F34" s="84">
        <f>F30*1000/F8</f>
        <v>2400.0001210924647</v>
      </c>
      <c r="G34" s="82" t="s">
        <v>136</v>
      </c>
      <c r="H34" s="108"/>
      <c r="J34" s="9"/>
      <c r="K34" s="35"/>
      <c r="R34" s="31"/>
      <c r="S34" s="31"/>
      <c r="T34" s="9"/>
    </row>
    <row r="35" spans="1:25">
      <c r="A35" s="49"/>
      <c r="B35" s="9"/>
      <c r="C35" s="48" t="str">
        <f>"Glass Weight/(1Mx1M) Conversion"</f>
        <v>Glass Weight/(1Mx1M) Conversion</v>
      </c>
      <c r="D35" s="112"/>
      <c r="E35" s="81"/>
      <c r="F35" s="83">
        <f>F31*1000/F8</f>
        <v>1600.00008072831</v>
      </c>
      <c r="G35" s="82" t="s">
        <v>136</v>
      </c>
      <c r="H35" s="108"/>
      <c r="J35" s="9"/>
      <c r="K35" s="35"/>
      <c r="R35" s="31"/>
      <c r="S35" s="31"/>
      <c r="T35" s="9"/>
    </row>
    <row r="36" spans="1:25">
      <c r="A36" s="49"/>
      <c r="B36" s="9"/>
      <c r="C36" s="48" t="str">
        <f>"SMC Weight/(1MxM) unirt conversion"</f>
        <v>SMC Weight/(1MxM) unirt conversion</v>
      </c>
      <c r="D36" s="112"/>
      <c r="E36" s="81"/>
      <c r="F36" s="83">
        <f>F34+F35</f>
        <v>4000.0002018207747</v>
      </c>
      <c r="G36" s="82" t="s">
        <v>136</v>
      </c>
      <c r="H36" s="108"/>
      <c r="J36" s="9"/>
      <c r="K36" s="35"/>
      <c r="R36" s="31"/>
      <c r="S36" s="31"/>
      <c r="T36" s="9"/>
      <c r="Y36"/>
    </row>
    <row r="37" spans="1:25">
      <c r="A37" s="49"/>
      <c r="B37" s="9"/>
      <c r="C37" s="35"/>
      <c r="D37" s="35"/>
      <c r="E37" s="79"/>
      <c r="F37" s="92"/>
      <c r="G37" s="79"/>
      <c r="H37" s="108"/>
      <c r="I37" s="154"/>
      <c r="J37" s="9"/>
      <c r="K37" s="35"/>
      <c r="R37" s="31"/>
      <c r="S37" s="31"/>
      <c r="T37" s="9"/>
    </row>
    <row r="38" spans="1:25">
      <c r="A38" s="49"/>
      <c r="B38" s="9"/>
      <c r="C38" s="73" t="s">
        <v>89</v>
      </c>
      <c r="D38" s="74"/>
      <c r="E38" s="75"/>
      <c r="F38" s="95">
        <f>F9/25</f>
        <v>160</v>
      </c>
      <c r="G38" s="135" t="s">
        <v>90</v>
      </c>
      <c r="H38" s="35"/>
      <c r="I38" s="154"/>
      <c r="J38" s="9"/>
      <c r="K38" s="35"/>
      <c r="R38" s="31"/>
      <c r="S38" s="31"/>
      <c r="T38" s="9"/>
    </row>
    <row r="39" spans="1:25">
      <c r="A39" s="49"/>
      <c r="B39" s="9"/>
      <c r="C39" s="73" t="s">
        <v>91</v>
      </c>
      <c r="D39" s="74"/>
      <c r="E39" s="75"/>
      <c r="F39" s="95">
        <f>F38*F10</f>
        <v>64</v>
      </c>
      <c r="G39" s="135" t="s">
        <v>90</v>
      </c>
      <c r="H39" s="35"/>
      <c r="I39" s="154"/>
      <c r="J39" s="9"/>
      <c r="K39" s="35"/>
      <c r="R39" s="31"/>
      <c r="S39" s="31"/>
      <c r="T39" s="9"/>
    </row>
    <row r="40" spans="1:25" ht="18" thickBot="1">
      <c r="A40" s="49"/>
      <c r="B40" s="9"/>
      <c r="C40" s="76" t="s">
        <v>92</v>
      </c>
      <c r="D40" s="77"/>
      <c r="E40" s="78"/>
      <c r="F40" s="96">
        <f>F38-F39</f>
        <v>96</v>
      </c>
      <c r="G40" s="136" t="s">
        <v>90</v>
      </c>
      <c r="H40" s="32"/>
      <c r="I40" s="150"/>
      <c r="J40" s="9"/>
      <c r="K40" s="35"/>
      <c r="R40" s="31"/>
      <c r="S40" s="31"/>
      <c r="T40" s="9"/>
    </row>
    <row r="41" spans="1:25">
      <c r="A41" s="49"/>
      <c r="B41" s="50" t="s">
        <v>93</v>
      </c>
      <c r="C41" s="51"/>
      <c r="D41" s="52"/>
      <c r="E41" s="53"/>
      <c r="F41" s="97" t="s">
        <v>88</v>
      </c>
      <c r="G41" s="137">
        <f>IF(F41="ON",1,0)</f>
        <v>1</v>
      </c>
      <c r="H41" s="53"/>
      <c r="I41" s="157"/>
      <c r="J41" s="54"/>
      <c r="K41" s="35"/>
      <c r="Q41" s="109"/>
      <c r="R41" s="31"/>
      <c r="S41" s="31"/>
      <c r="T41" s="9"/>
    </row>
    <row r="42" spans="1:25" ht="16.95" customHeight="1">
      <c r="A42" s="49"/>
      <c r="B42" s="55"/>
      <c r="C42" s="39" t="s">
        <v>94</v>
      </c>
      <c r="D42" s="56">
        <v>4800</v>
      </c>
      <c r="E42" s="32" t="s">
        <v>95</v>
      </c>
      <c r="F42" s="146">
        <f>D42</f>
        <v>4800</v>
      </c>
      <c r="G42" s="32" t="s">
        <v>90</v>
      </c>
      <c r="H42" s="32" t="s">
        <v>96</v>
      </c>
      <c r="I42" s="149">
        <f>1000*100*10</f>
        <v>1000000</v>
      </c>
      <c r="J42" s="32" t="s">
        <v>85</v>
      </c>
      <c r="K42" s="9"/>
      <c r="Q42" s="109"/>
      <c r="R42" s="9"/>
      <c r="S42" s="9"/>
      <c r="T42" s="9"/>
    </row>
    <row r="43" spans="1:25" ht="16.95" customHeight="1">
      <c r="A43" s="49"/>
      <c r="B43" s="55"/>
      <c r="C43" s="39" t="s">
        <v>97</v>
      </c>
      <c r="D43" s="56">
        <v>1</v>
      </c>
      <c r="E43" s="32" t="s">
        <v>98</v>
      </c>
      <c r="F43" s="89">
        <f>F42*I43/I42</f>
        <v>0.12192</v>
      </c>
      <c r="G43" s="32" t="s">
        <v>90</v>
      </c>
      <c r="H43" s="32" t="s">
        <v>96</v>
      </c>
      <c r="I43" s="159">
        <f>25.4*D43</f>
        <v>25.4</v>
      </c>
      <c r="J43" s="32" t="s">
        <v>85</v>
      </c>
      <c r="K43" s="9"/>
      <c r="Q43" s="109"/>
      <c r="R43" s="9"/>
      <c r="S43" s="9"/>
      <c r="T43" s="9"/>
    </row>
    <row r="44" spans="1:25" ht="16.95" customHeight="1">
      <c r="A44" s="49"/>
      <c r="B44" s="55"/>
      <c r="C44" s="39" t="s">
        <v>99</v>
      </c>
      <c r="D44" s="33"/>
      <c r="E44" s="32"/>
      <c r="F44" s="90">
        <v>32</v>
      </c>
      <c r="G44" s="32" t="s">
        <v>100</v>
      </c>
      <c r="H44" s="32"/>
      <c r="I44" s="150"/>
      <c r="J44" s="9"/>
      <c r="K44" s="9"/>
      <c r="Q44" s="109"/>
      <c r="R44" s="9"/>
      <c r="S44" s="9"/>
      <c r="T44" s="9"/>
    </row>
    <row r="45" spans="1:25" ht="16.95" customHeight="1" thickBot="1">
      <c r="A45" s="49"/>
      <c r="B45" s="58"/>
      <c r="C45" s="59" t="s">
        <v>101</v>
      </c>
      <c r="D45" s="59"/>
      <c r="E45" s="60"/>
      <c r="F45" s="98">
        <v>24</v>
      </c>
      <c r="G45" s="60" t="s">
        <v>102</v>
      </c>
      <c r="H45" s="60"/>
      <c r="I45" s="160"/>
      <c r="J45" s="59"/>
      <c r="K45" s="9"/>
      <c r="Q45" s="109"/>
      <c r="R45" s="9"/>
      <c r="S45" s="9"/>
      <c r="T45" s="9"/>
    </row>
    <row r="46" spans="1:25" ht="16.95" customHeight="1" thickBot="1">
      <c r="A46" s="49"/>
      <c r="B46" s="50" t="s">
        <v>103</v>
      </c>
      <c r="C46" s="51"/>
      <c r="D46" s="52"/>
      <c r="E46" s="53"/>
      <c r="F46" s="97" t="s">
        <v>109</v>
      </c>
      <c r="G46" s="137">
        <f>IF(F46="ON",1,0)</f>
        <v>0</v>
      </c>
      <c r="H46" s="53"/>
      <c r="I46" s="157"/>
      <c r="J46" s="54"/>
      <c r="K46" s="9"/>
      <c r="Q46" s="109"/>
      <c r="R46" s="9"/>
      <c r="S46" s="9"/>
      <c r="T46" s="9"/>
    </row>
    <row r="47" spans="1:25" ht="16.95" hidden="1" customHeight="1">
      <c r="A47" s="49"/>
      <c r="B47" s="55"/>
      <c r="C47" s="39" t="s">
        <v>104</v>
      </c>
      <c r="D47" s="56">
        <v>4800</v>
      </c>
      <c r="E47" s="32" t="s">
        <v>95</v>
      </c>
      <c r="F47" s="89">
        <f>D47</f>
        <v>4800</v>
      </c>
      <c r="G47" s="32" t="s">
        <v>90</v>
      </c>
      <c r="H47" s="32" t="s">
        <v>96</v>
      </c>
      <c r="I47" s="158">
        <f>1000*100*10</f>
        <v>1000000</v>
      </c>
      <c r="J47" s="32" t="s">
        <v>85</v>
      </c>
      <c r="K47" s="9"/>
      <c r="Q47" s="109"/>
      <c r="R47" s="9"/>
      <c r="S47" s="9"/>
      <c r="T47" s="9"/>
    </row>
    <row r="48" spans="1:25" ht="16.95" hidden="1" customHeight="1">
      <c r="A48" s="49"/>
      <c r="B48" s="55"/>
      <c r="C48" s="39" t="s">
        <v>105</v>
      </c>
      <c r="D48" s="56">
        <v>1</v>
      </c>
      <c r="E48" s="32" t="s">
        <v>98</v>
      </c>
      <c r="F48" s="89">
        <f>F47*I48/I47</f>
        <v>0.12192</v>
      </c>
      <c r="G48" s="32" t="s">
        <v>90</v>
      </c>
      <c r="H48" s="32" t="s">
        <v>96</v>
      </c>
      <c r="I48" s="159">
        <f>25.4*D48</f>
        <v>25.4</v>
      </c>
      <c r="J48" s="32" t="s">
        <v>85</v>
      </c>
      <c r="K48" s="9"/>
      <c r="Q48" s="109"/>
      <c r="R48" s="9"/>
      <c r="S48" s="9"/>
      <c r="T48" s="9"/>
    </row>
    <row r="49" spans="1:20" ht="16.95" hidden="1" customHeight="1">
      <c r="A49" s="49"/>
      <c r="B49" s="55"/>
      <c r="C49" s="39" t="s">
        <v>106</v>
      </c>
      <c r="D49" s="33"/>
      <c r="E49" s="32"/>
      <c r="F49" s="90">
        <v>48</v>
      </c>
      <c r="G49" s="32" t="s">
        <v>100</v>
      </c>
      <c r="H49" s="32"/>
      <c r="I49" s="150"/>
      <c r="J49" s="9"/>
      <c r="K49" s="44"/>
      <c r="Q49" s="109"/>
      <c r="R49" s="9"/>
      <c r="S49" s="9"/>
      <c r="T49" s="9"/>
    </row>
    <row r="50" spans="1:20" ht="16.95" hidden="1" customHeight="1" thickBot="1">
      <c r="A50" s="49"/>
      <c r="B50" s="58"/>
      <c r="C50" s="59" t="s">
        <v>107</v>
      </c>
      <c r="D50" s="59"/>
      <c r="E50" s="60"/>
      <c r="F50" s="98">
        <v>24</v>
      </c>
      <c r="G50" s="60" t="s">
        <v>102</v>
      </c>
      <c r="H50" s="60"/>
      <c r="I50" s="160"/>
      <c r="J50" s="59"/>
      <c r="K50" s="32"/>
      <c r="Q50" s="9"/>
      <c r="R50" s="9"/>
      <c r="S50" s="9"/>
      <c r="T50" s="9"/>
    </row>
    <row r="51" spans="1:20" ht="16.95" customHeight="1" thickBot="1">
      <c r="A51" s="49"/>
      <c r="B51" s="61" t="s">
        <v>108</v>
      </c>
      <c r="C51" s="62"/>
      <c r="D51" s="63"/>
      <c r="E51" s="64"/>
      <c r="F51" s="99" t="s">
        <v>109</v>
      </c>
      <c r="G51" s="138">
        <f>IF(F51="ON",1,0)</f>
        <v>0</v>
      </c>
      <c r="H51" s="64"/>
      <c r="I51" s="161"/>
      <c r="J51" s="65"/>
      <c r="K51" s="32"/>
      <c r="Q51" s="9"/>
      <c r="R51" s="9"/>
      <c r="S51" s="9"/>
      <c r="T51" s="9"/>
    </row>
    <row r="52" spans="1:20" ht="16.95" hidden="1" customHeight="1">
      <c r="A52" s="9"/>
      <c r="B52" s="9"/>
      <c r="C52" s="39" t="s">
        <v>110</v>
      </c>
      <c r="D52" s="66">
        <v>4800</v>
      </c>
      <c r="E52" s="32" t="s">
        <v>95</v>
      </c>
      <c r="F52" s="89">
        <f>D52</f>
        <v>4800</v>
      </c>
      <c r="G52" s="32" t="s">
        <v>90</v>
      </c>
      <c r="H52" s="32" t="s">
        <v>96</v>
      </c>
      <c r="I52" s="158">
        <f>1000*100*10</f>
        <v>1000000</v>
      </c>
      <c r="J52" s="32" t="s">
        <v>85</v>
      </c>
      <c r="K52" s="9"/>
      <c r="Q52" s="9"/>
      <c r="R52" s="9"/>
      <c r="S52" s="9"/>
      <c r="T52" s="9"/>
    </row>
    <row r="53" spans="1:20" ht="16.95" hidden="1" customHeight="1">
      <c r="B53" s="9"/>
      <c r="C53" s="39" t="s">
        <v>111</v>
      </c>
      <c r="D53" s="67">
        <v>48</v>
      </c>
      <c r="E53" s="32" t="s">
        <v>112</v>
      </c>
      <c r="F53" s="89">
        <f>F52*I53/I52</f>
        <v>4.8</v>
      </c>
      <c r="G53" s="32" t="s">
        <v>90</v>
      </c>
      <c r="H53" s="32" t="s">
        <v>96</v>
      </c>
      <c r="I53" s="159">
        <f>1000</f>
        <v>1000</v>
      </c>
      <c r="J53" s="32" t="s">
        <v>85</v>
      </c>
      <c r="K53" s="9"/>
      <c r="Q53" s="9"/>
    </row>
    <row r="54" spans="1:20" ht="16.95" hidden="1" customHeight="1" thickBot="1">
      <c r="B54" s="9"/>
      <c r="C54" s="39"/>
      <c r="D54" s="39"/>
      <c r="E54" s="32"/>
      <c r="F54" s="89"/>
      <c r="G54" s="32"/>
      <c r="H54" s="32"/>
      <c r="I54" s="159"/>
      <c r="J54" s="32"/>
      <c r="K54" s="44"/>
      <c r="Q54" s="9"/>
    </row>
    <row r="55" spans="1:20" ht="16.95" customHeight="1" thickBot="1">
      <c r="B55" s="61" t="s">
        <v>113</v>
      </c>
      <c r="C55" s="62"/>
      <c r="D55" s="63"/>
      <c r="E55" s="64"/>
      <c r="F55" s="99" t="s">
        <v>109</v>
      </c>
      <c r="G55" s="138">
        <f>IF(F55="ON",1,0)</f>
        <v>0</v>
      </c>
      <c r="H55" s="64"/>
      <c r="I55" s="161"/>
      <c r="J55" s="65"/>
      <c r="K55" s="32"/>
      <c r="Q55" s="9"/>
    </row>
    <row r="56" spans="1:20" ht="16.95" hidden="1" customHeight="1">
      <c r="B56" s="55"/>
      <c r="C56" s="9" t="s">
        <v>113</v>
      </c>
      <c r="D56" s="68">
        <v>580</v>
      </c>
      <c r="E56" s="32" t="s">
        <v>86</v>
      </c>
      <c r="F56" s="100">
        <f>D56</f>
        <v>580</v>
      </c>
      <c r="G56" s="32" t="s">
        <v>90</v>
      </c>
      <c r="H56" s="32" t="s">
        <v>96</v>
      </c>
      <c r="I56" s="159">
        <f>1000</f>
        <v>1000</v>
      </c>
      <c r="J56" s="32" t="s">
        <v>85</v>
      </c>
      <c r="K56" s="32"/>
      <c r="Q56" s="9"/>
    </row>
    <row r="57" spans="1:20" ht="16.95" hidden="1" customHeight="1">
      <c r="B57" s="9"/>
      <c r="C57" s="9"/>
      <c r="D57" s="9"/>
      <c r="E57" s="32"/>
      <c r="F57" s="87"/>
      <c r="G57" s="32"/>
      <c r="H57" s="32"/>
      <c r="I57" s="150"/>
      <c r="J57" s="9"/>
      <c r="K57" s="9"/>
      <c r="Q57" s="9"/>
    </row>
    <row r="58" spans="1:20" ht="16.95" customHeight="1">
      <c r="B58" s="9"/>
      <c r="C58" s="9"/>
      <c r="D58" s="9"/>
      <c r="E58" s="32"/>
      <c r="F58" s="87"/>
      <c r="G58" s="32"/>
      <c r="H58" s="32"/>
      <c r="I58" s="150"/>
      <c r="J58" s="9"/>
      <c r="K58" s="9"/>
      <c r="Q58" s="9"/>
    </row>
    <row r="59" spans="1:20" ht="16.95" customHeight="1">
      <c r="B59" s="9"/>
      <c r="C59" s="45" t="s">
        <v>114</v>
      </c>
      <c r="D59" s="46"/>
      <c r="E59" s="47"/>
      <c r="F59" s="101">
        <f>IF(G41=0,0,IF(G46=1,(F31-F61-F62)/2,(F31-F61-F62)))</f>
        <v>1600.00008072831</v>
      </c>
      <c r="G59" s="22" t="s">
        <v>90</v>
      </c>
      <c r="H59" s="22" t="s">
        <v>96</v>
      </c>
      <c r="I59" s="162" t="s">
        <v>115</v>
      </c>
      <c r="J59" s="69">
        <f>F59/F35</f>
        <v>1</v>
      </c>
      <c r="K59" s="9"/>
      <c r="Q59" s="9"/>
    </row>
    <row r="60" spans="1:20" ht="16.95" customHeight="1">
      <c r="B60" s="9"/>
      <c r="C60" s="45" t="s">
        <v>116</v>
      </c>
      <c r="D60" s="46"/>
      <c r="E60" s="47"/>
      <c r="F60" s="101">
        <f>IF(G46=0,0,IF(G41=1,(F31-F61-F62)/2,F31-F61-F62))</f>
        <v>0</v>
      </c>
      <c r="G60" s="22" t="s">
        <v>90</v>
      </c>
      <c r="H60" s="22" t="s">
        <v>96</v>
      </c>
      <c r="I60" s="162" t="s">
        <v>115</v>
      </c>
      <c r="J60" s="9"/>
      <c r="K60" s="44"/>
      <c r="Q60" s="9"/>
    </row>
    <row r="61" spans="1:20" ht="16.95" customHeight="1">
      <c r="B61" s="9"/>
      <c r="C61" s="45" t="s">
        <v>117</v>
      </c>
      <c r="D61" s="46"/>
      <c r="E61" s="47"/>
      <c r="F61" s="101">
        <f>IF(G51=0,0,F53*D53)</f>
        <v>0</v>
      </c>
      <c r="G61" s="22" t="s">
        <v>90</v>
      </c>
      <c r="H61" s="22" t="s">
        <v>96</v>
      </c>
      <c r="I61" s="162" t="s">
        <v>115</v>
      </c>
      <c r="J61" s="69">
        <f>F61/F34</f>
        <v>0</v>
      </c>
      <c r="K61" s="32"/>
      <c r="Q61" s="9"/>
    </row>
    <row r="62" spans="1:20" ht="16.95" customHeight="1">
      <c r="B62" s="9"/>
      <c r="C62" s="45" t="s">
        <v>118</v>
      </c>
      <c r="D62" s="46"/>
      <c r="E62" s="47"/>
      <c r="F62" s="101">
        <f>IF(G55=0,0,F56)</f>
        <v>0</v>
      </c>
      <c r="G62" s="22" t="s">
        <v>90</v>
      </c>
      <c r="H62" s="22" t="s">
        <v>96</v>
      </c>
      <c r="I62" s="162" t="s">
        <v>115</v>
      </c>
      <c r="J62" s="9"/>
      <c r="K62" s="32"/>
    </row>
    <row r="63" spans="1:20" ht="16.95" customHeight="1">
      <c r="B63" s="70"/>
      <c r="C63" s="10" t="s">
        <v>119</v>
      </c>
      <c r="D63" s="10"/>
      <c r="E63" s="22"/>
      <c r="F63" s="101">
        <f>F60+F59+F61+F62</f>
        <v>1600.00008072831</v>
      </c>
      <c r="G63" s="22" t="s">
        <v>90</v>
      </c>
      <c r="H63" s="22" t="s">
        <v>96</v>
      </c>
      <c r="I63" s="162" t="s">
        <v>115</v>
      </c>
      <c r="J63" s="9"/>
      <c r="K63" s="32"/>
    </row>
    <row r="64" spans="1:20" ht="16.95" customHeight="1">
      <c r="B64" s="9"/>
      <c r="C64" s="9"/>
      <c r="D64" s="9"/>
      <c r="E64" s="9"/>
      <c r="F64" s="9"/>
      <c r="G64" s="32"/>
      <c r="H64" s="9"/>
      <c r="I64" s="150"/>
      <c r="J64" s="9"/>
      <c r="K64" s="44"/>
    </row>
    <row r="65" spans="1:32" ht="16.95" customHeight="1">
      <c r="B65" s="70"/>
      <c r="C65" s="115" t="s">
        <v>26</v>
      </c>
      <c r="D65" s="115"/>
      <c r="E65" s="117" t="s">
        <v>27</v>
      </c>
      <c r="F65" s="118"/>
      <c r="G65" s="111" t="s">
        <v>0</v>
      </c>
      <c r="H65" s="32"/>
      <c r="I65" s="150"/>
      <c r="J65" s="9"/>
      <c r="K65" s="9"/>
    </row>
    <row r="66" spans="1:32" ht="16.95" customHeight="1">
      <c r="B66" s="39"/>
      <c r="C66" s="188" t="s">
        <v>121</v>
      </c>
      <c r="D66" s="189"/>
      <c r="E66" s="190"/>
      <c r="F66" s="102">
        <f>(F59*F5)/(F43*F44*F45)</f>
        <v>85.438543243451463</v>
      </c>
      <c r="G66" s="183" t="s">
        <v>122</v>
      </c>
      <c r="H66" s="184"/>
      <c r="I66" s="185"/>
      <c r="J66" s="9"/>
      <c r="K66" s="9"/>
    </row>
    <row r="67" spans="1:32" ht="16.95" customHeight="1">
      <c r="B67" s="39"/>
      <c r="C67" s="188" t="s">
        <v>123</v>
      </c>
      <c r="D67" s="189"/>
      <c r="E67" s="190"/>
      <c r="F67" s="102">
        <f>(F60*F5)/(F48*F49*F50)</f>
        <v>0</v>
      </c>
      <c r="G67" s="183" t="s">
        <v>122</v>
      </c>
      <c r="H67" s="184"/>
      <c r="I67" s="185"/>
      <c r="J67" s="9"/>
      <c r="K67" s="9"/>
    </row>
    <row r="68" spans="1:32" ht="16.95" customHeight="1">
      <c r="K68" s="9"/>
    </row>
    <row r="69" spans="1:32" ht="16.95" customHeight="1">
      <c r="A69" s="9"/>
      <c r="B69" s="9"/>
      <c r="C69" s="179" t="s">
        <v>2</v>
      </c>
      <c r="D69" s="180"/>
      <c r="E69" s="6" t="s">
        <v>3</v>
      </c>
      <c r="F69" s="133">
        <v>2.3511237769624245</v>
      </c>
      <c r="G69" s="6" t="s">
        <v>4</v>
      </c>
      <c r="H69" s="9"/>
      <c r="I69" s="150"/>
      <c r="J69" s="35"/>
      <c r="K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</row>
    <row r="70" spans="1:32">
      <c r="A70" s="9"/>
      <c r="C70" s="105" t="s">
        <v>137</v>
      </c>
      <c r="D70" s="105"/>
      <c r="E70" s="82" t="s">
        <v>3</v>
      </c>
      <c r="F70" s="93">
        <f>F69/2</f>
        <v>1.1755618884812122</v>
      </c>
      <c r="G70" s="82"/>
      <c r="K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 t="e">
        <f>#REF!/(#REF!*#REF!*#REF!)*1000</f>
        <v>#REF!</v>
      </c>
      <c r="AC70" s="9" t="s">
        <v>120</v>
      </c>
      <c r="AD70" s="9" t="e">
        <f>AB70*10</f>
        <v>#REF!</v>
      </c>
      <c r="AE70" s="9"/>
      <c r="AF70" s="9"/>
    </row>
    <row r="71" spans="1:32">
      <c r="A71" s="9"/>
      <c r="C71" s="105" t="s">
        <v>138</v>
      </c>
      <c r="D71" s="105"/>
      <c r="E71" s="82" t="s">
        <v>3</v>
      </c>
      <c r="F71" s="93">
        <f>F69/2</f>
        <v>1.1755618884812122</v>
      </c>
      <c r="G71" s="82"/>
      <c r="K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</row>
    <row r="72" spans="1:32" ht="16.95" customHeight="1">
      <c r="A72" s="9"/>
      <c r="K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</row>
    <row r="73" spans="1:32" ht="16.95" customHeight="1">
      <c r="A73" s="9"/>
      <c r="K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</row>
    <row r="74" spans="1:32">
      <c r="A74" s="9"/>
      <c r="B74" s="39"/>
      <c r="C74" s="9"/>
      <c r="D74" s="33"/>
      <c r="E74" s="32"/>
      <c r="F74" s="87"/>
      <c r="G74" s="32"/>
      <c r="H74" s="32"/>
      <c r="I74" s="150"/>
      <c r="J74" s="9"/>
      <c r="K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</row>
    <row r="75" spans="1:32" ht="17.399999999999999" hidden="1" customHeight="1">
      <c r="A75" s="9"/>
      <c r="B75" s="39"/>
      <c r="C75" s="9"/>
      <c r="D75" s="33"/>
      <c r="E75" s="32"/>
      <c r="F75" s="87"/>
      <c r="G75" s="32"/>
      <c r="H75" s="32"/>
      <c r="I75" s="150"/>
      <c r="J75" s="9"/>
      <c r="K75" s="9"/>
      <c r="L75"/>
      <c r="M75" s="4"/>
      <c r="N75" s="130"/>
      <c r="O75" s="4"/>
      <c r="P75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</row>
    <row r="76" spans="1:32" ht="17.399999999999999" hidden="1" customHeight="1">
      <c r="A76" s="9"/>
      <c r="B76" s="39"/>
      <c r="C76" s="9"/>
      <c r="D76" s="33"/>
      <c r="E76" s="32"/>
      <c r="F76" s="87"/>
      <c r="G76" s="32"/>
      <c r="H76" s="32"/>
      <c r="I76" s="150"/>
      <c r="J76" s="9"/>
      <c r="K76" s="9"/>
      <c r="L76" s="9"/>
      <c r="M76" s="9"/>
      <c r="N76" s="30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</row>
    <row r="77" spans="1:32" ht="17.399999999999999" hidden="1" customHeight="1">
      <c r="A77" s="9"/>
      <c r="B77" s="39"/>
      <c r="C77" s="9"/>
      <c r="D77" s="33"/>
      <c r="E77" s="32"/>
      <c r="F77" s="87"/>
      <c r="G77" s="32"/>
      <c r="H77" s="32"/>
      <c r="I77" s="150"/>
      <c r="J77" s="9"/>
      <c r="K77" s="9"/>
      <c r="L77" s="9"/>
      <c r="M77" s="9"/>
      <c r="N77" s="30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</row>
    <row r="78" spans="1:32" ht="17.399999999999999" hidden="1" customHeight="1">
      <c r="A78" s="9"/>
      <c r="B78" s="39"/>
      <c r="C78" s="9"/>
      <c r="D78" s="33"/>
      <c r="E78" s="32"/>
      <c r="F78" s="87"/>
      <c r="G78" s="32"/>
      <c r="H78" s="32"/>
      <c r="I78" s="150"/>
      <c r="J78" s="9"/>
      <c r="K78" s="9"/>
      <c r="L78" s="9"/>
      <c r="M78" s="9"/>
      <c r="N78" s="30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</row>
    <row r="79" spans="1:32" hidden="1">
      <c r="A79" s="9"/>
      <c r="B79" s="39"/>
      <c r="C79" s="39"/>
      <c r="D79" s="9"/>
      <c r="E79" s="32"/>
      <c r="F79" s="87"/>
      <c r="G79" s="32"/>
      <c r="H79" s="9"/>
      <c r="I79" s="150"/>
      <c r="J79" s="9"/>
      <c r="K79" s="9"/>
      <c r="L79" s="9"/>
      <c r="M79" s="9"/>
      <c r="N79" s="30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</row>
    <row r="80" spans="1:32" hidden="1">
      <c r="B80" s="9"/>
      <c r="C80" s="9"/>
      <c r="D80" s="33"/>
      <c r="E80" s="32"/>
      <c r="F80" s="87"/>
      <c r="G80" s="32"/>
      <c r="H80" s="32"/>
      <c r="I80" s="150"/>
      <c r="J80" s="9"/>
      <c r="K80" s="9"/>
    </row>
    <row r="81" spans="2:11" hidden="1">
      <c r="B81" s="9"/>
      <c r="C81" s="9"/>
      <c r="D81" s="33"/>
      <c r="E81" s="32"/>
      <c r="F81" s="87"/>
      <c r="G81" s="32"/>
      <c r="H81" s="32"/>
      <c r="I81" s="150"/>
      <c r="J81" s="9"/>
      <c r="K81" s="9"/>
    </row>
    <row r="82" spans="2:11" hidden="1">
      <c r="B82" s="9"/>
      <c r="C82" s="9"/>
      <c r="D82" s="33"/>
      <c r="E82" s="32"/>
      <c r="F82" s="87"/>
      <c r="G82" s="32"/>
      <c r="H82" s="32"/>
      <c r="I82" s="150"/>
      <c r="J82" s="9"/>
      <c r="K82" s="9"/>
    </row>
    <row r="83" spans="2:11" hidden="1">
      <c r="B83" s="9"/>
      <c r="C83" s="9"/>
      <c r="D83" s="33"/>
      <c r="E83" s="32"/>
      <c r="F83" s="87"/>
      <c r="G83" s="32"/>
      <c r="H83" s="32"/>
      <c r="I83" s="150"/>
      <c r="J83" s="9"/>
      <c r="K83" s="9"/>
    </row>
    <row r="84" spans="2:11" hidden="1">
      <c r="B84" s="9"/>
      <c r="C84" s="9"/>
      <c r="D84" s="33"/>
      <c r="E84" s="32"/>
      <c r="F84" s="87"/>
      <c r="G84" s="32"/>
      <c r="H84" s="32"/>
      <c r="I84" s="150"/>
      <c r="J84" s="9"/>
      <c r="K84" s="9"/>
    </row>
    <row r="85" spans="2:11" hidden="1">
      <c r="B85" s="9"/>
      <c r="C85" s="9"/>
      <c r="D85" s="33"/>
      <c r="E85" s="32"/>
      <c r="F85" s="87"/>
      <c r="G85" s="32"/>
      <c r="H85" s="32"/>
      <c r="I85" s="150"/>
      <c r="J85" s="9"/>
      <c r="K85" s="9"/>
    </row>
    <row r="86" spans="2:11" hidden="1">
      <c r="B86" s="9"/>
      <c r="C86" s="9"/>
      <c r="D86" s="33"/>
      <c r="E86" s="32"/>
      <c r="F86" s="87"/>
      <c r="G86" s="32"/>
      <c r="H86" s="32"/>
      <c r="I86" s="150"/>
      <c r="J86" s="9"/>
      <c r="K86" s="9"/>
    </row>
    <row r="87" spans="2:11" hidden="1">
      <c r="B87" s="9"/>
      <c r="C87" s="9"/>
      <c r="D87" s="33"/>
      <c r="E87" s="32"/>
      <c r="F87" s="87"/>
      <c r="G87" s="32"/>
      <c r="H87" s="32"/>
      <c r="I87" s="150"/>
      <c r="J87" s="9"/>
      <c r="K87" s="9"/>
    </row>
    <row r="88" spans="2:11" hidden="1">
      <c r="B88" s="39"/>
      <c r="C88" s="39"/>
      <c r="D88" s="33"/>
      <c r="E88" s="32"/>
      <c r="F88" s="89"/>
      <c r="G88" s="32"/>
      <c r="H88" s="32"/>
      <c r="I88" s="150"/>
      <c r="J88" s="9"/>
      <c r="K88" s="9"/>
    </row>
    <row r="89" spans="2:11" hidden="1">
      <c r="B89" s="9"/>
      <c r="C89" s="9"/>
      <c r="D89" s="33"/>
      <c r="E89" s="32"/>
      <c r="F89" s="87"/>
      <c r="G89" s="32"/>
      <c r="H89" s="32"/>
      <c r="I89" s="150"/>
      <c r="J89" s="9"/>
      <c r="K89" s="9"/>
    </row>
    <row r="90" spans="2:11" hidden="1">
      <c r="B90" s="9"/>
      <c r="C90" s="9"/>
      <c r="D90" s="33"/>
      <c r="E90" s="32"/>
      <c r="F90" s="87"/>
      <c r="G90" s="32"/>
      <c r="H90" s="32"/>
      <c r="I90" s="150"/>
      <c r="J90" s="9"/>
      <c r="K90" s="9"/>
    </row>
    <row r="91" spans="2:11" hidden="1">
      <c r="B91" s="9"/>
      <c r="C91" s="9"/>
      <c r="D91" s="33"/>
      <c r="E91" s="32"/>
      <c r="F91" s="87"/>
      <c r="G91" s="32"/>
      <c r="H91" s="32"/>
      <c r="I91" s="150"/>
      <c r="J91" s="9"/>
      <c r="K91" s="9"/>
    </row>
    <row r="92" spans="2:11" hidden="1">
      <c r="B92" s="57"/>
      <c r="C92" s="57"/>
      <c r="D92" s="57"/>
      <c r="E92" s="116"/>
      <c r="F92" s="89"/>
      <c r="G92" s="32"/>
      <c r="H92" s="32"/>
      <c r="I92" s="159"/>
      <c r="J92" s="32"/>
      <c r="K92" s="32"/>
    </row>
    <row r="93" spans="2:11" hidden="1">
      <c r="B93" s="9"/>
      <c r="C93" s="9"/>
      <c r="D93" s="33"/>
      <c r="E93" s="32"/>
      <c r="F93" s="87"/>
      <c r="G93" s="32"/>
      <c r="H93" s="32"/>
      <c r="I93" s="150"/>
      <c r="J93" s="9"/>
      <c r="K93" s="9"/>
    </row>
    <row r="94" spans="2:11">
      <c r="B94" s="9"/>
      <c r="C94" s="9"/>
      <c r="D94" s="33"/>
      <c r="E94" s="32"/>
      <c r="F94" s="87"/>
      <c r="G94" s="32"/>
      <c r="H94" s="32"/>
      <c r="I94" s="150"/>
      <c r="J94" s="9"/>
      <c r="K94" s="9"/>
    </row>
    <row r="95" spans="2:11">
      <c r="B95" s="9"/>
      <c r="C95" s="9"/>
      <c r="D95" s="33"/>
      <c r="E95" s="32"/>
      <c r="F95" s="87"/>
      <c r="G95" s="32"/>
      <c r="H95" s="32"/>
      <c r="I95" s="150"/>
      <c r="J95" s="9"/>
      <c r="K95" s="9"/>
    </row>
    <row r="96" spans="2:11" hidden="1">
      <c r="B96" s="9"/>
      <c r="C96" s="9"/>
      <c r="D96" s="33"/>
      <c r="E96" s="32"/>
      <c r="F96" s="87"/>
      <c r="G96" s="32"/>
      <c r="H96" s="32"/>
      <c r="I96" s="150"/>
      <c r="J96" s="9"/>
      <c r="K96" s="9"/>
    </row>
    <row r="97" spans="2:11" hidden="1">
      <c r="B97" s="39"/>
      <c r="C97" s="39"/>
      <c r="D97" s="33"/>
      <c r="E97" s="32"/>
      <c r="F97" s="103"/>
      <c r="G97" s="32"/>
      <c r="H97" s="32"/>
      <c r="I97" s="150"/>
      <c r="J97" s="9"/>
      <c r="K97" s="9"/>
    </row>
    <row r="98" spans="2:11" hidden="1">
      <c r="B98" s="9"/>
      <c r="C98" s="9"/>
      <c r="D98" s="33"/>
      <c r="E98" s="32"/>
      <c r="F98" s="87"/>
      <c r="G98" s="32"/>
      <c r="H98" s="32"/>
      <c r="I98" s="150"/>
      <c r="J98" s="71"/>
      <c r="K98" s="71"/>
    </row>
    <row r="99" spans="2:11" hidden="1">
      <c r="B99" s="39"/>
      <c r="C99" s="39"/>
      <c r="D99" s="33"/>
      <c r="E99" s="32"/>
      <c r="F99" s="104"/>
      <c r="G99" s="32"/>
      <c r="H99" s="32"/>
      <c r="I99" s="150"/>
      <c r="J99" s="9"/>
      <c r="K99" s="9"/>
    </row>
    <row r="100" spans="2:11" hidden="1">
      <c r="B100" s="9"/>
      <c r="C100" s="9"/>
      <c r="D100" s="33"/>
      <c r="E100" s="32"/>
      <c r="F100" s="87"/>
      <c r="G100" s="32"/>
      <c r="H100" s="32"/>
      <c r="I100" s="150"/>
      <c r="J100" s="9"/>
      <c r="K100" s="9"/>
    </row>
    <row r="101" spans="2:11" hidden="1">
      <c r="B101" s="9"/>
      <c r="C101" s="9" t="s">
        <v>124</v>
      </c>
      <c r="D101" s="33" t="s">
        <v>125</v>
      </c>
      <c r="E101" s="32"/>
      <c r="F101" s="87" t="s">
        <v>126</v>
      </c>
      <c r="G101" s="32"/>
      <c r="H101" s="32"/>
      <c r="I101" s="150"/>
      <c r="J101" s="9"/>
      <c r="K101" s="9"/>
    </row>
    <row r="102" spans="2:11" hidden="1">
      <c r="B102" s="9"/>
      <c r="C102" s="32">
        <v>2400</v>
      </c>
      <c r="D102" s="72">
        <v>0.5</v>
      </c>
      <c r="E102" s="32"/>
      <c r="F102" s="87" t="s">
        <v>127</v>
      </c>
      <c r="G102" s="32"/>
      <c r="H102" s="32"/>
      <c r="I102" s="150"/>
      <c r="J102" s="9"/>
      <c r="K102" s="9"/>
    </row>
    <row r="103" spans="2:11" hidden="1">
      <c r="B103" s="9"/>
      <c r="C103" s="32">
        <v>4400</v>
      </c>
      <c r="D103" s="33">
        <v>1</v>
      </c>
      <c r="E103" s="32"/>
      <c r="F103" s="87"/>
      <c r="G103" s="32"/>
      <c r="H103" s="32"/>
      <c r="I103" s="150"/>
      <c r="J103" s="9"/>
      <c r="K103" s="9"/>
    </row>
    <row r="104" spans="2:11" hidden="1">
      <c r="B104" s="9"/>
      <c r="C104" s="32">
        <v>4800</v>
      </c>
      <c r="D104" s="33">
        <v>2</v>
      </c>
      <c r="E104" s="32"/>
      <c r="F104" s="87"/>
      <c r="G104" s="32"/>
      <c r="H104" s="32"/>
      <c r="I104" s="150"/>
      <c r="J104" s="9"/>
      <c r="K104" s="9"/>
    </row>
    <row r="105" spans="2:11" hidden="1">
      <c r="B105" s="9"/>
      <c r="C105" s="32">
        <v>9600</v>
      </c>
      <c r="D105" s="33"/>
      <c r="E105" s="32"/>
      <c r="F105" s="87"/>
      <c r="G105" s="32"/>
      <c r="H105" s="32"/>
      <c r="I105" s="150"/>
      <c r="J105" s="9"/>
      <c r="K105" s="9"/>
    </row>
    <row r="106" spans="2:11" hidden="1">
      <c r="B106" s="9"/>
      <c r="C106" s="9"/>
      <c r="D106" s="33"/>
      <c r="E106" s="32"/>
      <c r="F106" s="87"/>
      <c r="G106" s="32"/>
      <c r="H106" s="32"/>
      <c r="I106" s="150"/>
      <c r="J106" s="9"/>
      <c r="K106" s="9"/>
    </row>
    <row r="107" spans="2:11" hidden="1">
      <c r="B107" s="9"/>
      <c r="C107" s="9"/>
      <c r="D107" s="33"/>
      <c r="E107" s="32"/>
      <c r="F107" s="87"/>
      <c r="G107" s="32"/>
      <c r="H107" s="32"/>
      <c r="I107" s="150"/>
      <c r="J107" s="9"/>
      <c r="K107" s="9"/>
    </row>
    <row r="108" spans="2:11" hidden="1">
      <c r="B108" s="9"/>
      <c r="C108" s="9"/>
      <c r="D108" s="33"/>
      <c r="E108" s="32"/>
      <c r="F108" s="87"/>
      <c r="G108" s="32"/>
      <c r="H108" s="32"/>
      <c r="I108" s="150"/>
      <c r="J108" s="9"/>
      <c r="K108" s="9"/>
    </row>
    <row r="109" spans="2:11" hidden="1">
      <c r="B109" s="9"/>
      <c r="C109" s="9"/>
      <c r="D109" s="33"/>
      <c r="E109" s="32"/>
      <c r="F109" s="87"/>
      <c r="G109" s="32"/>
      <c r="H109" s="32"/>
      <c r="I109" s="150"/>
      <c r="J109" s="9"/>
      <c r="K109" s="9"/>
    </row>
    <row r="110" spans="2:11" hidden="1">
      <c r="B110" s="9"/>
      <c r="C110" s="9"/>
      <c r="D110" s="33"/>
      <c r="E110" s="32"/>
      <c r="F110" s="87"/>
      <c r="G110" s="32"/>
      <c r="H110" s="32"/>
      <c r="I110" s="150"/>
      <c r="J110" s="9"/>
      <c r="K110" s="9"/>
    </row>
    <row r="111" spans="2:11" hidden="1">
      <c r="B111" s="9"/>
      <c r="C111" s="9"/>
      <c r="D111" s="33"/>
      <c r="E111" s="32"/>
      <c r="F111" s="87"/>
      <c r="G111" s="32"/>
      <c r="H111" s="32"/>
      <c r="I111" s="150"/>
      <c r="J111" s="9"/>
      <c r="K111" s="9"/>
    </row>
    <row r="112" spans="2:11" hidden="1">
      <c r="F112" s="87"/>
    </row>
    <row r="113" spans="6:6">
      <c r="F113" s="87"/>
    </row>
    <row r="114" spans="6:6">
      <c r="F114" s="87"/>
    </row>
    <row r="115" spans="6:6" hidden="1">
      <c r="F115" s="87"/>
    </row>
    <row r="116" spans="6:6" hidden="1">
      <c r="F116" s="87">
        <v>1</v>
      </c>
    </row>
    <row r="117" spans="6:6" hidden="1">
      <c r="F117" s="87">
        <v>2</v>
      </c>
    </row>
    <row r="118" spans="6:6" hidden="1">
      <c r="F118" s="87">
        <v>3</v>
      </c>
    </row>
    <row r="119" spans="6:6" hidden="1">
      <c r="F119" s="87">
        <v>4</v>
      </c>
    </row>
    <row r="120" spans="6:6" hidden="1">
      <c r="F120" s="87">
        <v>5</v>
      </c>
    </row>
    <row r="121" spans="6:6" hidden="1">
      <c r="F121" s="87">
        <v>6</v>
      </c>
    </row>
    <row r="122" spans="6:6" hidden="1">
      <c r="F122" s="87">
        <v>7</v>
      </c>
    </row>
    <row r="123" spans="6:6" hidden="1">
      <c r="F123" s="87">
        <v>8</v>
      </c>
    </row>
    <row r="124" spans="6:6" hidden="1">
      <c r="F124" s="87">
        <v>9</v>
      </c>
    </row>
    <row r="125" spans="6:6" hidden="1">
      <c r="F125" s="87">
        <v>10</v>
      </c>
    </row>
    <row r="126" spans="6:6" hidden="1">
      <c r="F126" s="87">
        <v>11</v>
      </c>
    </row>
    <row r="127" spans="6:6" hidden="1">
      <c r="F127" s="87">
        <v>12</v>
      </c>
    </row>
    <row r="128" spans="6:6" hidden="1">
      <c r="F128" s="87">
        <v>13</v>
      </c>
    </row>
    <row r="129" spans="6:6" hidden="1">
      <c r="F129" s="87">
        <v>14</v>
      </c>
    </row>
    <row r="130" spans="6:6" hidden="1">
      <c r="F130" s="87">
        <v>15</v>
      </c>
    </row>
    <row r="131" spans="6:6" hidden="1">
      <c r="F131" s="87">
        <v>16</v>
      </c>
    </row>
    <row r="132" spans="6:6" hidden="1">
      <c r="F132" s="87">
        <v>17</v>
      </c>
    </row>
    <row r="133" spans="6:6" hidden="1">
      <c r="F133" s="87">
        <v>18</v>
      </c>
    </row>
    <row r="134" spans="6:6" hidden="1">
      <c r="F134" s="87">
        <v>19</v>
      </c>
    </row>
    <row r="135" spans="6:6" hidden="1">
      <c r="F135" s="87">
        <v>20</v>
      </c>
    </row>
    <row r="136" spans="6:6" hidden="1">
      <c r="F136" s="87">
        <v>21</v>
      </c>
    </row>
    <row r="137" spans="6:6" hidden="1">
      <c r="F137" s="87">
        <v>22</v>
      </c>
    </row>
    <row r="138" spans="6:6" hidden="1">
      <c r="F138" s="87">
        <v>23</v>
      </c>
    </row>
    <row r="139" spans="6:6" hidden="1">
      <c r="F139" s="87">
        <v>24</v>
      </c>
    </row>
    <row r="140" spans="6:6" hidden="1">
      <c r="F140" s="87">
        <v>25</v>
      </c>
    </row>
    <row r="141" spans="6:6" hidden="1">
      <c r="F141" s="87">
        <v>26</v>
      </c>
    </row>
    <row r="142" spans="6:6" hidden="1">
      <c r="F142" s="87">
        <v>27</v>
      </c>
    </row>
    <row r="143" spans="6:6" hidden="1">
      <c r="F143" s="87">
        <v>28</v>
      </c>
    </row>
    <row r="144" spans="6:6" hidden="1">
      <c r="F144" s="87">
        <v>29</v>
      </c>
    </row>
    <row r="145" spans="6:6" hidden="1">
      <c r="F145" s="87">
        <v>30</v>
      </c>
    </row>
    <row r="146" spans="6:6">
      <c r="F146" s="87"/>
    </row>
  </sheetData>
  <mergeCells count="26">
    <mergeCell ref="C69:D69"/>
    <mergeCell ref="D25:E25"/>
    <mergeCell ref="D27:E27"/>
    <mergeCell ref="D28:E28"/>
    <mergeCell ref="C66:E66"/>
    <mergeCell ref="G66:I66"/>
    <mergeCell ref="C67:E67"/>
    <mergeCell ref="G67:I67"/>
    <mergeCell ref="C18:D18"/>
    <mergeCell ref="C19:D19"/>
    <mergeCell ref="C20:D20"/>
    <mergeCell ref="C21:D21"/>
    <mergeCell ref="D22:E22"/>
    <mergeCell ref="D24:E24"/>
    <mergeCell ref="C10:D10"/>
    <mergeCell ref="C11:D11"/>
    <mergeCell ref="C12:D12"/>
    <mergeCell ref="C13:D13"/>
    <mergeCell ref="C16:D16"/>
    <mergeCell ref="C17:D17"/>
    <mergeCell ref="T2:T3"/>
    <mergeCell ref="C5:D5"/>
    <mergeCell ref="C6:D6"/>
    <mergeCell ref="C7:D7"/>
    <mergeCell ref="C8:D8"/>
    <mergeCell ref="C9:D9"/>
  </mergeCells>
  <dataValidations count="5">
    <dataValidation type="list" allowBlank="1" showInputMessage="1" showErrorMessage="1" sqref="F5" xr:uid="{90FA6338-10F2-45C3-95AC-4BBC8CAC4222}">
      <formula1>$F$116:$F$145</formula1>
    </dataValidation>
    <dataValidation type="list" allowBlank="1" showInputMessage="1" showErrorMessage="1" sqref="F46 F41 F55 F51" xr:uid="{322C63D9-61FC-41A7-B241-A0392A2E5E4D}">
      <formula1>$F$101:$F$102</formula1>
    </dataValidation>
    <dataValidation showInputMessage="1" showErrorMessage="1" sqref="D53 D56" xr:uid="{49E7D60D-D231-46B0-BD85-8A12DA5F7175}"/>
    <dataValidation type="list" allowBlank="1" showInputMessage="1" showErrorMessage="1" sqref="D43 D48" xr:uid="{6E4E9652-B089-478C-92BB-8136A329E078}">
      <formula1>$D$102:$D$104</formula1>
    </dataValidation>
    <dataValidation type="list" allowBlank="1" showInputMessage="1" showErrorMessage="1" sqref="C102:C105 D52 D47 D42" xr:uid="{F32A34DD-2625-4C8D-A224-A2BE0D26F8C0}">
      <formula1>$C$102:$C$105</formula1>
    </dataValidation>
  </dataValidations>
  <pageMargins left="0.7" right="0.7" top="0.75" bottom="0.75" header="0.3" footer="0.3"/>
  <pageSetup paperSize="9" scale="68" orientation="portrait" r:id="rId1"/>
  <colBreaks count="1" manualBreakCount="1">
    <brk id="10" min="1" max="87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794D6-BBCD-4632-966F-7B99F5B4C2CD}">
  <sheetPr codeName="Sheet1">
    <pageSetUpPr fitToPage="1"/>
  </sheetPr>
  <dimension ref="A1:AF146"/>
  <sheetViews>
    <sheetView view="pageBreakPreview" topLeftCell="B2" zoomScale="70" zoomScaleNormal="100" zoomScaleSheetLayoutView="70" workbookViewId="0">
      <selection activeCell="F26" sqref="F26"/>
    </sheetView>
  </sheetViews>
  <sheetFormatPr defaultColWidth="9.6640625" defaultRowHeight="17.399999999999999"/>
  <cols>
    <col min="1" max="1" width="2.88671875" style="34" hidden="1" customWidth="1"/>
    <col min="2" max="2" width="7.33203125" style="34" customWidth="1"/>
    <col min="3" max="3" width="41.5546875" style="34" customWidth="1"/>
    <col min="4" max="4" width="10.109375" style="34" customWidth="1"/>
    <col min="5" max="5" width="11.44140625" style="80" customWidth="1"/>
    <col min="6" max="6" width="18.6640625" style="94" customWidth="1"/>
    <col min="7" max="7" width="15.109375" style="80" customWidth="1"/>
    <col min="8" max="8" width="5.44140625" style="34" customWidth="1"/>
    <col min="9" max="9" width="14.5546875" style="155" customWidth="1"/>
    <col min="10" max="10" width="6.109375" style="34" customWidth="1"/>
    <col min="11" max="11" width="9.6640625" style="34"/>
    <col min="12" max="12" width="32.6640625" style="34" customWidth="1"/>
    <col min="13" max="13" width="18.33203125" style="34" customWidth="1"/>
    <col min="14" max="14" width="16.88671875" style="129" customWidth="1"/>
    <col min="15" max="15" width="12.88671875" style="34" customWidth="1"/>
    <col min="16" max="16" width="8.44140625" style="34" bestFit="1" customWidth="1"/>
    <col min="17" max="17" width="12.109375" style="34" customWidth="1"/>
    <col min="18" max="18" width="12.6640625" style="34" customWidth="1"/>
    <col min="19" max="21" width="9.6640625" style="34"/>
    <col min="22" max="23" width="12.44140625" style="34" bestFit="1" customWidth="1"/>
    <col min="24" max="30" width="9.6640625" style="34"/>
    <col min="31" max="31" width="10" style="34" customWidth="1"/>
    <col min="32" max="16384" width="9.6640625" style="34"/>
  </cols>
  <sheetData>
    <row r="1" spans="2:25" ht="11.4" hidden="1" customHeight="1">
      <c r="B1" s="9"/>
      <c r="C1" s="9"/>
      <c r="D1" s="33"/>
      <c r="E1" s="32"/>
      <c r="F1" s="87"/>
      <c r="G1" s="32"/>
      <c r="H1" s="32"/>
      <c r="I1" s="150"/>
      <c r="J1" s="9"/>
      <c r="K1" s="9"/>
      <c r="L1" s="9"/>
      <c r="M1" s="9"/>
      <c r="N1" s="30"/>
      <c r="O1" s="9"/>
      <c r="P1" s="9"/>
      <c r="Q1" s="9"/>
      <c r="R1" s="9"/>
      <c r="S1" s="9"/>
      <c r="T1" s="9"/>
    </row>
    <row r="2" spans="2:25" ht="24.6">
      <c r="B2" s="114" t="s">
        <v>79</v>
      </c>
      <c r="C2" s="114"/>
      <c r="D2" s="114"/>
      <c r="E2" s="113"/>
      <c r="F2" s="114"/>
      <c r="G2" s="113"/>
      <c r="H2" s="114"/>
      <c r="I2" s="151"/>
      <c r="J2" s="114"/>
      <c r="K2" s="35"/>
      <c r="L2" s="8" t="s">
        <v>139</v>
      </c>
      <c r="M2" s="9"/>
      <c r="N2" s="124"/>
      <c r="O2" s="9"/>
      <c r="P2" s="9"/>
      <c r="Q2" s="9"/>
      <c r="R2" s="9"/>
      <c r="S2" s="9"/>
      <c r="T2" s="191">
        <f>O5+O6</f>
        <v>462.5</v>
      </c>
    </row>
    <row r="3" spans="2:25" ht="12" customHeight="1">
      <c r="B3" s="36"/>
      <c r="C3" s="36"/>
      <c r="D3" s="37"/>
      <c r="E3" s="38"/>
      <c r="F3" s="88"/>
      <c r="G3" s="38"/>
      <c r="H3" s="38"/>
      <c r="I3" s="152"/>
      <c r="J3" s="36"/>
      <c r="K3" s="35"/>
      <c r="L3" s="9"/>
      <c r="M3" s="9"/>
      <c r="N3" s="124"/>
      <c r="O3" s="9"/>
      <c r="P3" s="9"/>
      <c r="Q3" s="9"/>
      <c r="R3" s="10" t="s">
        <v>39</v>
      </c>
      <c r="S3" s="10" t="s">
        <v>39</v>
      </c>
      <c r="T3" s="192"/>
      <c r="X3" s="34">
        <v>0.5</v>
      </c>
    </row>
    <row r="4" spans="2:25" ht="22.95" customHeight="1">
      <c r="B4" s="40" t="s">
        <v>81</v>
      </c>
      <c r="C4" s="41"/>
      <c r="D4" s="42"/>
      <c r="E4" s="43"/>
      <c r="F4" s="91"/>
      <c r="G4" s="123" t="s">
        <v>0</v>
      </c>
      <c r="H4" s="43"/>
      <c r="I4" s="153"/>
      <c r="J4" s="44"/>
      <c r="K4" s="35"/>
      <c r="L4" s="11" t="s">
        <v>40</v>
      </c>
      <c r="M4" s="11" t="s">
        <v>41</v>
      </c>
      <c r="N4" s="125" t="s">
        <v>42</v>
      </c>
      <c r="O4" s="12" t="s">
        <v>43</v>
      </c>
      <c r="P4" s="11" t="s">
        <v>44</v>
      </c>
      <c r="Q4" s="11" t="s">
        <v>45</v>
      </c>
      <c r="R4" s="11" t="s">
        <v>46</v>
      </c>
      <c r="S4" s="11" t="s">
        <v>46</v>
      </c>
      <c r="T4" s="166" t="s">
        <v>47</v>
      </c>
      <c r="U4" s="105" t="s">
        <v>140</v>
      </c>
      <c r="V4" s="105" t="s">
        <v>141</v>
      </c>
      <c r="W4" s="105" t="s">
        <v>142</v>
      </c>
      <c r="X4" s="34">
        <v>950</v>
      </c>
    </row>
    <row r="5" spans="2:25">
      <c r="B5" s="35"/>
      <c r="C5" s="195" t="s">
        <v>128</v>
      </c>
      <c r="D5" s="195"/>
      <c r="E5" s="172" t="s">
        <v>1</v>
      </c>
      <c r="F5" s="147">
        <v>5</v>
      </c>
      <c r="G5" s="173" t="s">
        <v>80</v>
      </c>
      <c r="H5" s="35"/>
      <c r="I5" s="154"/>
      <c r="J5" s="35"/>
      <c r="K5" s="35"/>
      <c r="L5" s="13" t="s">
        <v>48</v>
      </c>
      <c r="M5" s="14" t="s">
        <v>49</v>
      </c>
      <c r="N5" s="15">
        <v>1.1000000000000001</v>
      </c>
      <c r="O5" s="13">
        <v>350</v>
      </c>
      <c r="P5" s="16">
        <f t="shared" ref="P5:P18" si="0">O5/$O$23</f>
        <v>0.16029990500746374</v>
      </c>
      <c r="Q5" s="17">
        <f>O5/N5</f>
        <v>318.18181818181813</v>
      </c>
      <c r="R5" s="18">
        <f t="shared" ref="R5:R17" si="1">Q5/$Q$22</f>
        <v>0.35349135616602728</v>
      </c>
      <c r="S5" s="18">
        <f t="shared" ref="S5:S18" si="2">Q5/$Q$23</f>
        <v>0.26976334118884143</v>
      </c>
      <c r="T5" s="167">
        <f>O5/$T$2*100</f>
        <v>75.675675675675677</v>
      </c>
      <c r="U5" s="170">
        <f>T5</f>
        <v>75.675675675675677</v>
      </c>
      <c r="V5" s="105"/>
      <c r="W5" s="105"/>
    </row>
    <row r="6" spans="2:25">
      <c r="B6" s="9"/>
      <c r="C6" s="195" t="s">
        <v>82</v>
      </c>
      <c r="D6" s="195"/>
      <c r="E6" s="173" t="s">
        <v>10</v>
      </c>
      <c r="F6" s="174">
        <f>N22*1000</f>
        <v>1637.3517622549718</v>
      </c>
      <c r="G6" s="173" t="s">
        <v>83</v>
      </c>
      <c r="H6" s="35"/>
      <c r="I6" s="154"/>
      <c r="J6" s="35"/>
      <c r="K6" s="35"/>
      <c r="L6" s="13" t="s">
        <v>50</v>
      </c>
      <c r="M6" s="14" t="s">
        <v>51</v>
      </c>
      <c r="N6" s="15">
        <v>1</v>
      </c>
      <c r="O6" s="13">
        <v>112.5</v>
      </c>
      <c r="P6" s="16">
        <f t="shared" si="0"/>
        <v>5.1524969466684771E-2</v>
      </c>
      <c r="Q6" s="17">
        <f>O6/N6</f>
        <v>112.5</v>
      </c>
      <c r="R6" s="18">
        <f t="shared" si="1"/>
        <v>0.12498444378727394</v>
      </c>
      <c r="S6" s="18">
        <f t="shared" si="2"/>
        <v>9.5380609920340378E-2</v>
      </c>
      <c r="T6" s="167">
        <f t="shared" ref="T6:T7" si="3">O6/$T$2*100</f>
        <v>24.324324324324326</v>
      </c>
      <c r="U6" s="170">
        <f t="shared" ref="U6:U15" si="4">T6</f>
        <v>24.324324324324326</v>
      </c>
      <c r="V6" s="105"/>
      <c r="W6" s="105"/>
      <c r="Y6" s="34">
        <f>3.14*X3*X4/60</f>
        <v>24.858333333333334</v>
      </c>
    </row>
    <row r="7" spans="2:25">
      <c r="B7" s="9"/>
      <c r="C7" s="195" t="s">
        <v>84</v>
      </c>
      <c r="D7" s="195"/>
      <c r="E7" s="173"/>
      <c r="F7" s="85">
        <v>0.04</v>
      </c>
      <c r="G7" s="173" t="s">
        <v>85</v>
      </c>
      <c r="H7" s="35"/>
      <c r="I7" s="154"/>
      <c r="J7" s="35"/>
      <c r="K7" s="35"/>
      <c r="L7" s="13" t="s">
        <v>52</v>
      </c>
      <c r="M7" s="14" t="s">
        <v>53</v>
      </c>
      <c r="N7" s="15">
        <v>0.90600000000000003</v>
      </c>
      <c r="O7" s="13">
        <v>57.5</v>
      </c>
      <c r="P7" s="16">
        <f t="shared" si="0"/>
        <v>2.6334984394083327E-2</v>
      </c>
      <c r="Q7" s="17">
        <f>O7/N7</f>
        <v>63.46578366445916</v>
      </c>
      <c r="R7" s="18">
        <f t="shared" si="1"/>
        <v>7.0508761518452312E-2</v>
      </c>
      <c r="S7" s="18">
        <f t="shared" si="2"/>
        <v>5.3808045822119913E-2</v>
      </c>
      <c r="T7" s="167">
        <f t="shared" si="3"/>
        <v>12.432432432432433</v>
      </c>
      <c r="U7" s="170">
        <f t="shared" si="4"/>
        <v>12.432432432432433</v>
      </c>
      <c r="V7" s="105"/>
      <c r="W7" s="105"/>
    </row>
    <row r="8" spans="2:25">
      <c r="B8" s="9"/>
      <c r="C8" s="195" t="s">
        <v>130</v>
      </c>
      <c r="D8" s="195"/>
      <c r="E8" s="173" t="s">
        <v>5</v>
      </c>
      <c r="F8" s="85">
        <v>1000</v>
      </c>
      <c r="G8" s="173" t="s">
        <v>85</v>
      </c>
      <c r="H8" s="35"/>
      <c r="I8" s="154"/>
      <c r="J8" s="35"/>
      <c r="K8" s="35"/>
      <c r="L8" s="19" t="s">
        <v>54</v>
      </c>
      <c r="M8" s="14" t="s">
        <v>55</v>
      </c>
      <c r="N8" s="15">
        <v>1.04</v>
      </c>
      <c r="O8" s="13">
        <v>5.5</v>
      </c>
      <c r="P8" s="16">
        <f t="shared" si="0"/>
        <v>2.5189985072601442E-3</v>
      </c>
      <c r="Q8" s="17">
        <f t="shared" ref="Q8:Q18" si="5">O8/N8</f>
        <v>5.2884615384615383</v>
      </c>
      <c r="R8" s="18">
        <f t="shared" si="1"/>
        <v>5.8753371011111685E-3</v>
      </c>
      <c r="S8" s="18">
        <f t="shared" si="2"/>
        <v>4.4837038851442057E-3</v>
      </c>
      <c r="T8" s="167">
        <f t="shared" ref="T8:T18" si="6">O8/$T$2*100</f>
        <v>1.1891891891891893</v>
      </c>
      <c r="U8" s="170">
        <f t="shared" si="4"/>
        <v>1.1891891891891893</v>
      </c>
      <c r="V8" s="105"/>
      <c r="W8" s="105"/>
    </row>
    <row r="9" spans="2:25" ht="16.95" customHeight="1">
      <c r="B9" s="9"/>
      <c r="C9" s="197" t="s">
        <v>134</v>
      </c>
      <c r="D9" s="198"/>
      <c r="E9" s="121"/>
      <c r="F9" s="119">
        <v>4000</v>
      </c>
      <c r="G9" s="148" t="s">
        <v>86</v>
      </c>
      <c r="H9" s="9"/>
      <c r="I9" s="150"/>
      <c r="J9" s="9"/>
      <c r="K9" s="35"/>
      <c r="L9" s="13" t="s">
        <v>56</v>
      </c>
      <c r="M9" s="14" t="s">
        <v>57</v>
      </c>
      <c r="N9" s="15">
        <v>1.095</v>
      </c>
      <c r="O9" s="13">
        <v>28</v>
      </c>
      <c r="P9" s="16">
        <f t="shared" si="0"/>
        <v>1.2823992400597098E-2</v>
      </c>
      <c r="Q9" s="17">
        <f t="shared" si="5"/>
        <v>25.570776255707763</v>
      </c>
      <c r="R9" s="18">
        <f t="shared" si="1"/>
        <v>2.8408437755808588E-2</v>
      </c>
      <c r="S9" s="18">
        <f t="shared" si="2"/>
        <v>2.1679610981386349E-2</v>
      </c>
      <c r="T9" s="167">
        <f t="shared" si="6"/>
        <v>6.0540540540540544</v>
      </c>
      <c r="U9" s="170">
        <f t="shared" si="4"/>
        <v>6.0540540540540544</v>
      </c>
      <c r="V9" s="105"/>
      <c r="W9" s="105"/>
    </row>
    <row r="10" spans="2:25">
      <c r="B10" s="9"/>
      <c r="C10" s="197" t="s">
        <v>87</v>
      </c>
      <c r="D10" s="198"/>
      <c r="E10" s="121"/>
      <c r="F10" s="120">
        <v>0.32500000000000001</v>
      </c>
      <c r="G10" s="148"/>
      <c r="H10" s="35"/>
      <c r="I10" s="154"/>
      <c r="J10" s="35"/>
      <c r="K10" s="35"/>
      <c r="L10" s="19" t="s">
        <v>58</v>
      </c>
      <c r="M10" s="14" t="s">
        <v>59</v>
      </c>
      <c r="N10" s="15">
        <v>2.0499999999999998</v>
      </c>
      <c r="O10" s="13">
        <v>12.5</v>
      </c>
      <c r="P10" s="16">
        <f t="shared" si="0"/>
        <v>5.7249966074094192E-3</v>
      </c>
      <c r="Q10" s="17">
        <f t="shared" si="5"/>
        <v>6.0975609756097562</v>
      </c>
      <c r="R10" s="18">
        <f t="shared" si="1"/>
        <v>6.7742245955162029E-3</v>
      </c>
      <c r="S10" s="18">
        <f t="shared" si="2"/>
        <v>5.1696807544899942E-3</v>
      </c>
      <c r="T10" s="167">
        <f t="shared" si="6"/>
        <v>2.7027027027027026</v>
      </c>
      <c r="U10" s="170"/>
      <c r="V10" s="170">
        <f>T10</f>
        <v>2.7027027027027026</v>
      </c>
      <c r="W10" s="105"/>
    </row>
    <row r="11" spans="2:25">
      <c r="B11" s="9"/>
      <c r="C11" s="199" t="s">
        <v>6</v>
      </c>
      <c r="D11" s="200"/>
      <c r="E11" s="173" t="s">
        <v>7</v>
      </c>
      <c r="F11" s="171">
        <v>2.5</v>
      </c>
      <c r="G11" s="175" t="s">
        <v>129</v>
      </c>
      <c r="H11" s="9"/>
      <c r="I11" s="150"/>
      <c r="J11" s="35"/>
      <c r="K11" s="35"/>
      <c r="L11" s="13" t="s">
        <v>60</v>
      </c>
      <c r="M11" s="14" t="s">
        <v>61</v>
      </c>
      <c r="N11" s="15">
        <v>1.2</v>
      </c>
      <c r="O11" s="13">
        <v>5</v>
      </c>
      <c r="P11" s="16">
        <f t="shared" si="0"/>
        <v>2.2899986429637674E-3</v>
      </c>
      <c r="Q11" s="17">
        <f t="shared" si="5"/>
        <v>4.166666666666667</v>
      </c>
      <c r="R11" s="18">
        <f t="shared" si="1"/>
        <v>4.6290534736027388E-3</v>
      </c>
      <c r="S11" s="18">
        <f t="shared" si="2"/>
        <v>3.5326151822348295E-3</v>
      </c>
      <c r="T11" s="167">
        <f t="shared" si="6"/>
        <v>1.0810810810810811</v>
      </c>
      <c r="U11" s="170">
        <f t="shared" si="4"/>
        <v>1.0810810810810811</v>
      </c>
      <c r="V11" s="105"/>
      <c r="W11" s="105"/>
    </row>
    <row r="12" spans="2:25">
      <c r="B12" s="9"/>
      <c r="C12" s="199" t="s">
        <v>8</v>
      </c>
      <c r="D12" s="200"/>
      <c r="E12" s="173" t="s">
        <v>9</v>
      </c>
      <c r="F12" s="122">
        <v>10000</v>
      </c>
      <c r="G12" s="176" t="s">
        <v>131</v>
      </c>
      <c r="H12" s="9"/>
      <c r="I12" s="150"/>
      <c r="J12" s="35"/>
      <c r="K12" s="35"/>
      <c r="L12" s="19" t="s">
        <v>62</v>
      </c>
      <c r="M12" s="14" t="s">
        <v>63</v>
      </c>
      <c r="N12" s="15">
        <v>0.95799999999999996</v>
      </c>
      <c r="O12" s="13">
        <v>25</v>
      </c>
      <c r="P12" s="16">
        <f t="shared" si="0"/>
        <v>1.1449993214818838E-2</v>
      </c>
      <c r="Q12" s="17">
        <f t="shared" si="5"/>
        <v>26.096033402922757</v>
      </c>
      <c r="R12" s="18">
        <f t="shared" si="1"/>
        <v>2.8991984177052645E-2</v>
      </c>
      <c r="S12" s="18">
        <f t="shared" si="2"/>
        <v>2.2124938510865319E-2</v>
      </c>
      <c r="T12" s="167">
        <f t="shared" si="6"/>
        <v>5.4054054054054053</v>
      </c>
      <c r="U12" s="170">
        <f t="shared" si="4"/>
        <v>5.4054054054054053</v>
      </c>
      <c r="V12" s="105"/>
      <c r="W12" s="105"/>
    </row>
    <row r="13" spans="2:25">
      <c r="B13" s="9"/>
      <c r="C13" s="199" t="s">
        <v>11</v>
      </c>
      <c r="D13" s="200"/>
      <c r="E13" s="173" t="s">
        <v>12</v>
      </c>
      <c r="F13" s="122">
        <v>50</v>
      </c>
      <c r="G13" s="175" t="s">
        <v>129</v>
      </c>
      <c r="H13" s="9"/>
      <c r="I13" s="150"/>
      <c r="J13" s="35"/>
      <c r="K13" s="35"/>
      <c r="L13" s="13" t="s">
        <v>64</v>
      </c>
      <c r="M13" s="14" t="s">
        <v>65</v>
      </c>
      <c r="N13" s="15">
        <v>1.2</v>
      </c>
      <c r="O13" s="13">
        <v>7.5</v>
      </c>
      <c r="P13" s="16">
        <f t="shared" si="0"/>
        <v>3.4349979644456513E-3</v>
      </c>
      <c r="Q13" s="17">
        <f t="shared" si="5"/>
        <v>6.25</v>
      </c>
      <c r="R13" s="18">
        <f t="shared" si="1"/>
        <v>6.9435802104041077E-3</v>
      </c>
      <c r="S13" s="18">
        <f t="shared" si="2"/>
        <v>5.2989227733522435E-3</v>
      </c>
      <c r="T13" s="167">
        <f t="shared" si="6"/>
        <v>1.6216216216216217</v>
      </c>
      <c r="U13" s="170">
        <f t="shared" si="4"/>
        <v>1.6216216216216217</v>
      </c>
      <c r="V13" s="105"/>
      <c r="W13" s="105"/>
    </row>
    <row r="14" spans="2:25" ht="16.95" customHeight="1">
      <c r="K14" s="35"/>
      <c r="L14" s="13" t="s">
        <v>66</v>
      </c>
      <c r="M14" s="14" t="s">
        <v>67</v>
      </c>
      <c r="N14" s="15">
        <v>1.0149999999999999</v>
      </c>
      <c r="O14" s="13">
        <v>5</v>
      </c>
      <c r="P14" s="16">
        <f t="shared" si="0"/>
        <v>2.2899986429637674E-3</v>
      </c>
      <c r="Q14" s="17">
        <f t="shared" si="5"/>
        <v>4.9261083743842367</v>
      </c>
      <c r="R14" s="18">
        <f t="shared" si="1"/>
        <v>5.4727725796288535E-3</v>
      </c>
      <c r="S14" s="18">
        <f t="shared" si="2"/>
        <v>4.1764908558441331E-3</v>
      </c>
      <c r="T14" s="167">
        <f t="shared" si="6"/>
        <v>1.0810810810810811</v>
      </c>
      <c r="U14" s="170">
        <f t="shared" si="4"/>
        <v>1.0810810810810811</v>
      </c>
      <c r="V14" s="105"/>
      <c r="W14" s="105"/>
    </row>
    <row r="15" spans="2:25" ht="16.95" customHeight="1">
      <c r="B15" s="35"/>
      <c r="C15" s="35"/>
      <c r="D15" s="35"/>
      <c r="E15" s="35"/>
      <c r="F15" s="35"/>
      <c r="G15" s="35"/>
      <c r="H15" s="35"/>
      <c r="I15" s="154"/>
      <c r="J15" s="35"/>
      <c r="K15" s="35"/>
      <c r="L15" s="13" t="s">
        <v>68</v>
      </c>
      <c r="M15" s="14" t="s">
        <v>69</v>
      </c>
      <c r="N15" s="15">
        <v>1.0349999999999999</v>
      </c>
      <c r="O15" s="13">
        <v>5</v>
      </c>
      <c r="P15" s="16">
        <f t="shared" si="0"/>
        <v>2.2899986429637674E-3</v>
      </c>
      <c r="Q15" s="17">
        <f t="shared" si="5"/>
        <v>4.8309178743961354</v>
      </c>
      <c r="R15" s="18">
        <f t="shared" si="1"/>
        <v>5.3670185201191174E-3</v>
      </c>
      <c r="S15" s="18">
        <f t="shared" si="2"/>
        <v>4.0957857185331351E-3</v>
      </c>
      <c r="T15" s="167">
        <f t="shared" si="6"/>
        <v>1.0810810810810811</v>
      </c>
      <c r="U15" s="170">
        <f t="shared" si="4"/>
        <v>1.0810810810810811</v>
      </c>
      <c r="V15" s="105"/>
      <c r="W15" s="105"/>
    </row>
    <row r="16" spans="2:25" ht="16.95" customHeight="1">
      <c r="B16" s="35"/>
      <c r="C16" s="186" t="s">
        <v>14</v>
      </c>
      <c r="D16" s="187"/>
      <c r="E16" s="6" t="s">
        <v>1</v>
      </c>
      <c r="F16" s="93">
        <f>F5/60</f>
        <v>8.3333333333333329E-2</v>
      </c>
      <c r="G16" s="82" t="s">
        <v>132</v>
      </c>
      <c r="J16" s="35"/>
      <c r="K16" s="35"/>
      <c r="L16" s="13" t="s">
        <v>70</v>
      </c>
      <c r="M16" s="14" t="s">
        <v>71</v>
      </c>
      <c r="N16" s="15">
        <v>2.7</v>
      </c>
      <c r="O16" s="13">
        <v>850</v>
      </c>
      <c r="P16" s="16">
        <f t="shared" si="0"/>
        <v>0.38929976930384047</v>
      </c>
      <c r="Q16" s="17">
        <f t="shared" si="5"/>
        <v>314.81481481481478</v>
      </c>
      <c r="R16" s="18">
        <f t="shared" si="1"/>
        <v>0.34975070689442911</v>
      </c>
      <c r="S16" s="18">
        <f t="shared" si="2"/>
        <v>0.26690870265774264</v>
      </c>
      <c r="T16" s="167">
        <f t="shared" si="6"/>
        <v>183.7837837837838</v>
      </c>
      <c r="U16" s="170">
        <f>T16</f>
        <v>183.7837837837838</v>
      </c>
      <c r="V16" s="105"/>
      <c r="W16" s="105"/>
    </row>
    <row r="17" spans="1:24" ht="16.95" customHeight="1">
      <c r="B17" s="9"/>
      <c r="C17" s="179" t="s">
        <v>15</v>
      </c>
      <c r="D17" s="180"/>
      <c r="E17" s="131"/>
      <c r="F17" s="93">
        <f>F69/1000</f>
        <v>2.4046491701215393E-3</v>
      </c>
      <c r="G17" s="6" t="s">
        <v>16</v>
      </c>
      <c r="J17" s="35"/>
      <c r="K17" s="35"/>
      <c r="L17" s="13" t="s">
        <v>72</v>
      </c>
      <c r="M17" s="20" t="s">
        <v>73</v>
      </c>
      <c r="N17" s="15">
        <v>1.3</v>
      </c>
      <c r="O17" s="13">
        <v>10.3</v>
      </c>
      <c r="P17" s="16">
        <f t="shared" si="0"/>
        <v>4.7173972045053613E-3</v>
      </c>
      <c r="Q17" s="17">
        <f t="shared" si="5"/>
        <v>7.9230769230769234</v>
      </c>
      <c r="R17" s="18">
        <f t="shared" si="1"/>
        <v>8.8023232205738239E-3</v>
      </c>
      <c r="S17" s="18">
        <f t="shared" si="2"/>
        <v>6.7174036388342288E-3</v>
      </c>
      <c r="T17" s="167">
        <f t="shared" si="6"/>
        <v>2.2270270270270274</v>
      </c>
      <c r="U17" s="170"/>
      <c r="V17" s="105"/>
      <c r="W17" s="170">
        <f>T17</f>
        <v>2.2270270270270274</v>
      </c>
    </row>
    <row r="18" spans="1:24" ht="16.95" customHeight="1">
      <c r="A18" s="9"/>
      <c r="B18" s="9"/>
      <c r="C18" s="186" t="s">
        <v>17</v>
      </c>
      <c r="D18" s="187"/>
      <c r="E18" s="82" t="s">
        <v>5</v>
      </c>
      <c r="F18" s="93">
        <f>F8/1000</f>
        <v>1</v>
      </c>
      <c r="G18" s="82" t="s">
        <v>133</v>
      </c>
      <c r="I18" s="150"/>
      <c r="J18" s="35"/>
      <c r="K18" s="35"/>
      <c r="L18" s="13" t="s">
        <v>74</v>
      </c>
      <c r="M18" s="13" t="s">
        <v>75</v>
      </c>
      <c r="N18" s="15">
        <v>2.54</v>
      </c>
      <c r="O18" s="21">
        <f>R26</f>
        <v>709.60740740740721</v>
      </c>
      <c r="P18" s="16">
        <f t="shared" si="0"/>
        <v>0.32499999999999996</v>
      </c>
      <c r="Q18" s="17">
        <f t="shared" si="5"/>
        <v>279.37299504228628</v>
      </c>
      <c r="R18" s="18"/>
      <c r="S18" s="18">
        <f t="shared" si="2"/>
        <v>0.23686014811027106</v>
      </c>
      <c r="T18" s="167">
        <f t="shared" si="6"/>
        <v>153.42862862862859</v>
      </c>
      <c r="U18" s="105"/>
      <c r="V18" s="105"/>
      <c r="W18" s="105"/>
    </row>
    <row r="19" spans="1:24" ht="16.95" customHeight="1">
      <c r="A19" s="9"/>
      <c r="B19" s="9"/>
      <c r="C19" s="186" t="s">
        <v>18</v>
      </c>
      <c r="D19" s="187"/>
      <c r="E19" s="22" t="s">
        <v>7</v>
      </c>
      <c r="F19" s="93">
        <f>F11/1000</f>
        <v>2.5000000000000001E-3</v>
      </c>
      <c r="G19" s="82" t="s">
        <v>133</v>
      </c>
      <c r="H19" s="9"/>
      <c r="I19" s="150"/>
      <c r="J19" s="35"/>
      <c r="K19" s="35"/>
      <c r="L19" s="140"/>
      <c r="M19" s="140"/>
      <c r="N19" s="141"/>
      <c r="O19" s="142"/>
      <c r="P19" s="143"/>
      <c r="Q19" s="31"/>
      <c r="R19" s="144"/>
      <c r="S19" s="144"/>
      <c r="T19" s="31"/>
      <c r="U19" s="31"/>
      <c r="V19" s="31"/>
      <c r="W19" s="31"/>
    </row>
    <row r="20" spans="1:24" ht="16.95" customHeight="1">
      <c r="A20" s="9"/>
      <c r="B20" s="9"/>
      <c r="C20" s="186" t="s">
        <v>19</v>
      </c>
      <c r="D20" s="187"/>
      <c r="E20" s="82"/>
      <c r="F20" s="86">
        <f>F12/1000</f>
        <v>10</v>
      </c>
      <c r="G20" s="82" t="s">
        <v>20</v>
      </c>
      <c r="J20" s="35"/>
      <c r="K20" s="35"/>
      <c r="L20" s="9"/>
      <c r="M20" s="9"/>
      <c r="N20" s="30"/>
      <c r="O20" s="9"/>
      <c r="P20" s="9"/>
      <c r="Q20" s="9"/>
      <c r="R20" s="9"/>
      <c r="S20" s="9"/>
      <c r="T20" s="9"/>
      <c r="U20" s="9"/>
      <c r="V20" s="9"/>
      <c r="W20" s="9"/>
    </row>
    <row r="21" spans="1:24" ht="16.95" customHeight="1">
      <c r="A21" s="9"/>
      <c r="B21" s="9"/>
      <c r="C21" s="186" t="s">
        <v>21</v>
      </c>
      <c r="D21" s="187"/>
      <c r="E21" s="82"/>
      <c r="F21" s="93">
        <f>F13/1000</f>
        <v>0.05</v>
      </c>
      <c r="G21" s="82" t="s">
        <v>133</v>
      </c>
      <c r="J21" s="35"/>
      <c r="K21" s="35"/>
      <c r="L21" s="9"/>
      <c r="M21" s="9"/>
      <c r="N21" s="30"/>
      <c r="O21" s="9"/>
      <c r="P21" s="9"/>
      <c r="Q21" s="9"/>
      <c r="R21" s="9"/>
      <c r="S21" s="9"/>
      <c r="T21" s="9"/>
      <c r="U21" s="177">
        <f>U22/(U22+V22+W22)</f>
        <v>0.98452978694531146</v>
      </c>
      <c r="V21" s="178">
        <f>V22/(U22+V22+W22)</f>
        <v>8.4814764554213586E-3</v>
      </c>
      <c r="W21" s="178">
        <f>W22/(U22+V22+W22)</f>
        <v>6.9887365992671998E-3</v>
      </c>
    </row>
    <row r="22" spans="1:24" ht="16.95" customHeight="1">
      <c r="A22" s="35"/>
      <c r="B22" s="9"/>
      <c r="C22" s="139" t="s">
        <v>22</v>
      </c>
      <c r="D22" s="196" t="s">
        <v>23</v>
      </c>
      <c r="E22" s="196"/>
      <c r="F22" s="86">
        <f>F6*9.81*F21</f>
        <v>803.12103938606379</v>
      </c>
      <c r="G22" s="82" t="s">
        <v>24</v>
      </c>
      <c r="H22" s="134" t="s">
        <v>25</v>
      </c>
      <c r="J22" s="35"/>
      <c r="K22" s="35"/>
      <c r="L22" s="22" t="s">
        <v>76</v>
      </c>
      <c r="M22" s="22"/>
      <c r="N22" s="126">
        <f>N5*R5+N6*R6+N7*R7+N8*R8+N9*R9+N10*R10+N11*R11+N12*R12+N13*R13+N14*R14+N15*R15+N16*R16+N17*R17</f>
        <v>1.6373517622549718</v>
      </c>
      <c r="O22" s="23">
        <f>SUM(O5:O17)</f>
        <v>1473.8</v>
      </c>
      <c r="P22" s="16">
        <f>O22/$O$23</f>
        <v>0.67500000000000016</v>
      </c>
      <c r="Q22" s="17">
        <f>SUM(Q5:Q17)</f>
        <v>900.11201867231796</v>
      </c>
      <c r="R22" s="18">
        <f>Q22/$Q$22</f>
        <v>1</v>
      </c>
      <c r="S22" s="18"/>
      <c r="T22" s="167">
        <f>O22/$T$2*100</f>
        <v>318.65945945945941</v>
      </c>
      <c r="U22" s="105">
        <f>SUM(U5:U18)</f>
        <v>313.7297297297298</v>
      </c>
      <c r="V22" s="105">
        <f>SUM(V5:V18)</f>
        <v>2.7027027027027026</v>
      </c>
      <c r="W22" s="105">
        <f t="shared" ref="W22" si="7">SUM(W5:W18)</f>
        <v>2.2270270270270274</v>
      </c>
    </row>
    <row r="23" spans="1:24" ht="16.95" customHeight="1">
      <c r="A23" s="49"/>
      <c r="B23" s="9"/>
      <c r="C23" s="39"/>
      <c r="D23" s="80"/>
      <c r="F23" s="145"/>
      <c r="J23" s="35"/>
      <c r="K23" s="35"/>
      <c r="L23" s="22" t="s">
        <v>77</v>
      </c>
      <c r="M23" s="22"/>
      <c r="N23" s="127">
        <f>N5*S5+N6*S6+N7*S7+N8*S8+N9*S9+N10*S10+N11*S11+N12*S12+N13*S13+N14*S14+N15*S15+N16*S16+N17*S17+N18*S18</f>
        <v>1.8511531575387341</v>
      </c>
      <c r="O23" s="24">
        <f>SUM(O5:O18)</f>
        <v>2183.4074074074069</v>
      </c>
      <c r="P23" s="25">
        <f>O23/$O$23</f>
        <v>1</v>
      </c>
      <c r="Q23" s="26">
        <f>SUM(Q5:Q18)</f>
        <v>1179.4850137146043</v>
      </c>
      <c r="R23" s="10"/>
      <c r="S23" s="27">
        <f>SUM(S5:S18)</f>
        <v>0.99999999999999978</v>
      </c>
      <c r="T23" s="26">
        <f>SUM(T5:T18)</f>
        <v>472.08808808808811</v>
      </c>
    </row>
    <row r="24" spans="1:24" ht="16.95" customHeight="1">
      <c r="A24" s="49"/>
      <c r="B24" s="9"/>
      <c r="C24" s="2" t="s">
        <v>26</v>
      </c>
      <c r="D24" s="181" t="s">
        <v>27</v>
      </c>
      <c r="E24" s="182"/>
      <c r="F24" s="128" t="s">
        <v>13</v>
      </c>
      <c r="G24" s="7" t="s">
        <v>0</v>
      </c>
      <c r="J24" s="35"/>
      <c r="K24" s="35"/>
      <c r="L24" s="9"/>
      <c r="M24" s="9"/>
      <c r="N24" s="30"/>
      <c r="O24" s="9"/>
      <c r="P24" s="9"/>
      <c r="Q24" s="9"/>
      <c r="R24" s="9"/>
      <c r="S24" s="9"/>
      <c r="T24" s="9"/>
    </row>
    <row r="25" spans="1:24" ht="16.95" customHeight="1">
      <c r="A25" s="49"/>
      <c r="B25" s="9"/>
      <c r="C25" s="3" t="s">
        <v>28</v>
      </c>
      <c r="D25" s="193" t="s">
        <v>29</v>
      </c>
      <c r="E25" s="194"/>
      <c r="F25" s="132">
        <f>(F16*F17)/2</f>
        <v>1.001937154217308E-4</v>
      </c>
      <c r="G25" s="6" t="s">
        <v>30</v>
      </c>
      <c r="I25" s="156"/>
      <c r="J25" s="35"/>
      <c r="K25" s="35"/>
      <c r="L25" s="9"/>
      <c r="M25" s="9"/>
      <c r="N25" s="30"/>
      <c r="O25" s="9"/>
      <c r="P25" s="10" t="s">
        <v>78</v>
      </c>
      <c r="Q25" s="28">
        <f>100%-F10</f>
        <v>0.67500000000000004</v>
      </c>
      <c r="R25" s="29">
        <f>O22</f>
        <v>1473.8</v>
      </c>
      <c r="S25" s="9"/>
      <c r="T25" s="168" t="s">
        <v>143</v>
      </c>
      <c r="U25" s="105" t="s">
        <v>143</v>
      </c>
      <c r="V25" s="105" t="s">
        <v>141</v>
      </c>
      <c r="W25" s="105" t="s">
        <v>142</v>
      </c>
    </row>
    <row r="26" spans="1:24" ht="16.95" customHeight="1">
      <c r="A26" s="49"/>
      <c r="B26" s="9"/>
      <c r="C26" s="3" t="s">
        <v>31</v>
      </c>
      <c r="D26" s="163" t="s">
        <v>32</v>
      </c>
      <c r="E26" s="163"/>
      <c r="F26" s="132">
        <f>((F17^3)/(12*F20*F19))*F22</f>
        <v>3.7223303936015881E-5</v>
      </c>
      <c r="G26" s="6" t="s">
        <v>30</v>
      </c>
      <c r="I26" s="156"/>
      <c r="J26" s="35"/>
      <c r="K26" s="35"/>
      <c r="L26" s="9"/>
      <c r="M26" s="9"/>
      <c r="N26" s="30"/>
      <c r="O26" s="9"/>
      <c r="P26" s="10" t="s">
        <v>135</v>
      </c>
      <c r="Q26" s="28">
        <f>1-Q25</f>
        <v>0.32499999999999996</v>
      </c>
      <c r="R26" s="17">
        <f>Q26*R25/Q25</f>
        <v>709.60740740740721</v>
      </c>
      <c r="S26" s="9"/>
      <c r="T26" s="168" t="s">
        <v>144</v>
      </c>
      <c r="U26" s="105"/>
      <c r="V26" s="168" t="s">
        <v>145</v>
      </c>
      <c r="W26" s="168" t="s">
        <v>145</v>
      </c>
    </row>
    <row r="27" spans="1:24" ht="16.95" customHeight="1">
      <c r="A27" s="49"/>
      <c r="B27" s="9"/>
      <c r="C27" s="3" t="s">
        <v>33</v>
      </c>
      <c r="D27" s="193" t="s">
        <v>34</v>
      </c>
      <c r="E27" s="194"/>
      <c r="F27" s="132">
        <f>(F25+F26)*F18</f>
        <v>1.3741701935774669E-4</v>
      </c>
      <c r="G27" s="6" t="s">
        <v>35</v>
      </c>
      <c r="H27" s="134"/>
      <c r="I27" s="156"/>
      <c r="J27" s="35"/>
      <c r="K27" s="35"/>
      <c r="L27" s="9"/>
      <c r="M27" s="9"/>
      <c r="N27" s="30"/>
      <c r="O27" s="9"/>
      <c r="P27" s="9"/>
      <c r="Q27" s="109"/>
      <c r="R27" s="31"/>
      <c r="S27" s="9"/>
      <c r="T27" s="169">
        <v>20</v>
      </c>
      <c r="U27" s="170">
        <f>$T$27*U22/T22</f>
        <v>19.690595738906236</v>
      </c>
      <c r="V27" s="170">
        <f>T27*V22/T22*1000</f>
        <v>169.62952910842722</v>
      </c>
      <c r="W27" s="170">
        <f>T27*W22/T22*1000</f>
        <v>139.77473198534403</v>
      </c>
    </row>
    <row r="28" spans="1:24" ht="16.95" customHeight="1">
      <c r="A28" s="49"/>
      <c r="B28" s="9"/>
      <c r="C28" s="3" t="s">
        <v>36</v>
      </c>
      <c r="D28" s="193" t="s">
        <v>37</v>
      </c>
      <c r="E28" s="194"/>
      <c r="F28" s="132">
        <f>F27*60000</f>
        <v>8.2450211614648019</v>
      </c>
      <c r="G28" s="6" t="s">
        <v>38</v>
      </c>
      <c r="H28" s="134"/>
      <c r="I28" s="156"/>
      <c r="J28" s="35"/>
      <c r="K28" s="35"/>
      <c r="L28" s="9"/>
      <c r="M28" s="9"/>
      <c r="N28" s="30"/>
      <c r="O28" s="9"/>
      <c r="P28" s="9"/>
      <c r="Q28" s="109"/>
      <c r="R28" s="31"/>
      <c r="S28" s="9"/>
      <c r="T28" s="9"/>
      <c r="U28" s="9"/>
      <c r="V28" s="9"/>
      <c r="W28" s="9"/>
      <c r="X28" s="9"/>
    </row>
    <row r="29" spans="1:24" ht="16.95" customHeight="1">
      <c r="A29" s="49"/>
      <c r="B29" s="9"/>
      <c r="D29" s="164"/>
      <c r="E29" s="165"/>
      <c r="H29" s="134"/>
      <c r="I29" s="156"/>
      <c r="J29" s="35"/>
      <c r="K29" s="35"/>
      <c r="L29" s="9"/>
      <c r="M29" s="9"/>
      <c r="N29" s="30"/>
      <c r="O29" s="9"/>
      <c r="P29" s="9"/>
      <c r="Q29" s="109"/>
      <c r="R29" s="31"/>
      <c r="S29" s="9"/>
      <c r="T29" s="9"/>
    </row>
    <row r="30" spans="1:24" ht="16.95" customHeight="1">
      <c r="A30" s="49"/>
      <c r="B30" s="9"/>
      <c r="C30" s="48" t="str">
        <f>"SMC Paste/(1Mx"&amp;F8/1000&amp;"M)"</f>
        <v>SMC Paste/(1Mx1M)</v>
      </c>
      <c r="D30" s="112"/>
      <c r="E30" s="110"/>
      <c r="F30" s="86">
        <f>F28*F6/F5</f>
        <v>2699.9999857107859</v>
      </c>
      <c r="G30" s="82" t="s">
        <v>136</v>
      </c>
      <c r="H30" s="108"/>
      <c r="J30" s="35"/>
      <c r="K30" s="35"/>
      <c r="L30" s="9"/>
      <c r="M30" s="9"/>
      <c r="N30" s="30"/>
      <c r="O30" s="9"/>
      <c r="P30" s="9"/>
      <c r="Q30" s="9"/>
      <c r="R30" s="9"/>
      <c r="S30" s="9"/>
      <c r="T30" s="9"/>
    </row>
    <row r="31" spans="1:24" ht="16.95" customHeight="1">
      <c r="A31" s="49"/>
      <c r="B31" s="9"/>
      <c r="C31" s="48" t="str">
        <f>"Glass Weight/(1Mx"&amp;F8/1000&amp;"M)"</f>
        <v>Glass Weight/(1Mx1M)</v>
      </c>
      <c r="D31" s="112"/>
      <c r="E31" s="110"/>
      <c r="F31" s="86">
        <f>F30*F10/(1-F10)</f>
        <v>1299.999993120008</v>
      </c>
      <c r="G31" s="82" t="s">
        <v>136</v>
      </c>
      <c r="H31" s="108"/>
      <c r="J31" s="35"/>
      <c r="K31" s="35"/>
      <c r="L31" s="9"/>
      <c r="M31" s="9"/>
      <c r="N31" s="30"/>
      <c r="O31" s="9"/>
      <c r="P31" s="9"/>
      <c r="Q31" s="9"/>
      <c r="R31" s="9"/>
      <c r="S31" s="9"/>
      <c r="T31" s="9"/>
    </row>
    <row r="32" spans="1:24" ht="16.95" customHeight="1">
      <c r="A32" s="49"/>
      <c r="B32" s="9"/>
      <c r="C32" s="48" t="str">
        <f>"SMC Weight/(1Mx"&amp;F8/1000&amp;"M)"</f>
        <v>SMC Weight/(1Mx1M)</v>
      </c>
      <c r="D32" s="112"/>
      <c r="E32" s="110"/>
      <c r="F32" s="86">
        <f>F30+F31</f>
        <v>3999.9999788307941</v>
      </c>
      <c r="G32" s="82" t="s">
        <v>136</v>
      </c>
      <c r="H32" s="108"/>
      <c r="J32" s="35"/>
      <c r="K32" s="35"/>
      <c r="L32" s="9"/>
      <c r="M32" s="9"/>
      <c r="N32" s="124"/>
      <c r="O32" s="9"/>
      <c r="S32" s="30"/>
      <c r="T32" s="9"/>
    </row>
    <row r="33" spans="1:20">
      <c r="A33" s="49"/>
      <c r="B33" s="9"/>
      <c r="C33" s="1"/>
      <c r="D33" s="106"/>
      <c r="E33" s="5"/>
      <c r="F33" s="107"/>
      <c r="G33" s="5"/>
      <c r="H33" s="108"/>
      <c r="J33" s="35"/>
      <c r="K33" s="35"/>
      <c r="R33" s="31"/>
      <c r="S33" s="31"/>
      <c r="T33" s="9"/>
    </row>
    <row r="34" spans="1:20">
      <c r="A34" s="49"/>
      <c r="B34" s="9"/>
      <c r="C34" s="48" t="str">
        <f>"SMC Paste/(1MxM) Conversion"</f>
        <v>SMC Paste/(1MxM) Conversion</v>
      </c>
      <c r="D34" s="112"/>
      <c r="E34" s="81"/>
      <c r="F34" s="84">
        <f>F30*1000/F8</f>
        <v>2699.9999857107859</v>
      </c>
      <c r="G34" s="82" t="s">
        <v>136</v>
      </c>
      <c r="H34" s="108"/>
      <c r="J34" s="9"/>
      <c r="K34" s="35"/>
      <c r="R34" s="31"/>
      <c r="S34" s="31"/>
      <c r="T34" s="9"/>
    </row>
    <row r="35" spans="1:20">
      <c r="A35" s="49"/>
      <c r="B35" s="9"/>
      <c r="C35" s="48" t="str">
        <f>"Glass Weight/(1Mx1M) Conversion"</f>
        <v>Glass Weight/(1Mx1M) Conversion</v>
      </c>
      <c r="D35" s="112"/>
      <c r="E35" s="81"/>
      <c r="F35" s="83">
        <f>F31*1000/F8</f>
        <v>1299.999993120008</v>
      </c>
      <c r="G35" s="82" t="s">
        <v>136</v>
      </c>
      <c r="H35" s="108"/>
      <c r="J35" s="9"/>
      <c r="K35" s="35"/>
      <c r="R35" s="31"/>
      <c r="S35" s="31"/>
      <c r="T35" s="9"/>
    </row>
    <row r="36" spans="1:20">
      <c r="A36" s="49"/>
      <c r="B36" s="9"/>
      <c r="C36" s="48" t="str">
        <f>"SMC Weight/(1MxM) unirt conversion"</f>
        <v>SMC Weight/(1MxM) unirt conversion</v>
      </c>
      <c r="D36" s="112"/>
      <c r="E36" s="81"/>
      <c r="F36" s="83">
        <f>F34+F35</f>
        <v>3999.9999788307941</v>
      </c>
      <c r="G36" s="82" t="s">
        <v>136</v>
      </c>
      <c r="H36" s="108"/>
      <c r="J36" s="9"/>
      <c r="K36" s="35"/>
      <c r="R36" s="31"/>
      <c r="S36" s="31"/>
      <c r="T36" s="9"/>
    </row>
    <row r="37" spans="1:20">
      <c r="A37" s="49"/>
      <c r="B37" s="9"/>
      <c r="C37" s="35"/>
      <c r="D37" s="35"/>
      <c r="E37" s="79"/>
      <c r="F37" s="92"/>
      <c r="G37" s="79"/>
      <c r="H37" s="108"/>
      <c r="I37" s="154"/>
      <c r="J37" s="9"/>
      <c r="K37" s="35"/>
      <c r="R37" s="31"/>
      <c r="S37" s="31"/>
      <c r="T37" s="9"/>
    </row>
    <row r="38" spans="1:20">
      <c r="A38" s="49"/>
      <c r="B38" s="9"/>
      <c r="C38" s="73" t="s">
        <v>89</v>
      </c>
      <c r="D38" s="74"/>
      <c r="E38" s="75"/>
      <c r="F38" s="95">
        <f>F9/25</f>
        <v>160</v>
      </c>
      <c r="G38" s="135" t="s">
        <v>90</v>
      </c>
      <c r="H38" s="35"/>
      <c r="I38" s="154"/>
      <c r="J38" s="9"/>
      <c r="K38" s="35"/>
      <c r="R38" s="31"/>
      <c r="S38" s="31"/>
      <c r="T38" s="9"/>
    </row>
    <row r="39" spans="1:20">
      <c r="A39" s="49"/>
      <c r="B39" s="9"/>
      <c r="C39" s="73" t="s">
        <v>91</v>
      </c>
      <c r="D39" s="74"/>
      <c r="E39" s="75"/>
      <c r="F39" s="95">
        <f>F38*F10</f>
        <v>52</v>
      </c>
      <c r="G39" s="135" t="s">
        <v>90</v>
      </c>
      <c r="H39" s="35"/>
      <c r="I39" s="154"/>
      <c r="J39" s="9"/>
      <c r="K39" s="35"/>
      <c r="R39" s="31"/>
      <c r="S39" s="31"/>
      <c r="T39" s="9"/>
    </row>
    <row r="40" spans="1:20" ht="18" thickBot="1">
      <c r="A40" s="49"/>
      <c r="B40" s="9"/>
      <c r="C40" s="76" t="s">
        <v>92</v>
      </c>
      <c r="D40" s="77"/>
      <c r="E40" s="78"/>
      <c r="F40" s="96">
        <f>F38-F39</f>
        <v>108</v>
      </c>
      <c r="G40" s="136" t="s">
        <v>90</v>
      </c>
      <c r="H40" s="32"/>
      <c r="I40" s="150"/>
      <c r="J40" s="9"/>
      <c r="K40" s="35"/>
      <c r="R40" s="31"/>
      <c r="S40" s="31"/>
      <c r="T40" s="9"/>
    </row>
    <row r="41" spans="1:20">
      <c r="A41" s="49"/>
      <c r="B41" s="50" t="s">
        <v>93</v>
      </c>
      <c r="C41" s="51"/>
      <c r="D41" s="52"/>
      <c r="E41" s="53"/>
      <c r="F41" s="97" t="s">
        <v>88</v>
      </c>
      <c r="G41" s="137">
        <f>IF(F41="ON",1,0)</f>
        <v>1</v>
      </c>
      <c r="H41" s="53"/>
      <c r="I41" s="157"/>
      <c r="J41" s="54"/>
      <c r="K41" s="35"/>
      <c r="Q41" s="109"/>
      <c r="R41" s="31"/>
      <c r="S41" s="31"/>
      <c r="T41" s="9"/>
    </row>
    <row r="42" spans="1:20" ht="16.95" customHeight="1">
      <c r="A42" s="49"/>
      <c r="B42" s="55"/>
      <c r="C42" s="39" t="s">
        <v>94</v>
      </c>
      <c r="D42" s="56">
        <v>4800</v>
      </c>
      <c r="E42" s="32" t="s">
        <v>95</v>
      </c>
      <c r="F42" s="146">
        <f>D42</f>
        <v>4800</v>
      </c>
      <c r="G42" s="32" t="s">
        <v>90</v>
      </c>
      <c r="H42" s="32" t="s">
        <v>96</v>
      </c>
      <c r="I42" s="149">
        <f>1000*100*10</f>
        <v>1000000</v>
      </c>
      <c r="J42" s="32" t="s">
        <v>85</v>
      </c>
      <c r="K42" s="9"/>
      <c r="Q42" s="109"/>
      <c r="R42" s="9"/>
      <c r="S42" s="9"/>
      <c r="T42" s="9"/>
    </row>
    <row r="43" spans="1:20" ht="16.95" customHeight="1">
      <c r="A43" s="49"/>
      <c r="B43" s="55"/>
      <c r="C43" s="39" t="s">
        <v>97</v>
      </c>
      <c r="D43" s="56">
        <v>1</v>
      </c>
      <c r="E43" s="32" t="s">
        <v>98</v>
      </c>
      <c r="F43" s="89">
        <f>F42*I43/I42</f>
        <v>0.12192</v>
      </c>
      <c r="G43" s="32" t="s">
        <v>90</v>
      </c>
      <c r="H43" s="32" t="s">
        <v>96</v>
      </c>
      <c r="I43" s="159">
        <f>25.4*D43</f>
        <v>25.4</v>
      </c>
      <c r="J43" s="32" t="s">
        <v>85</v>
      </c>
      <c r="K43" s="9"/>
      <c r="Q43" s="109"/>
      <c r="R43" s="9"/>
      <c r="S43" s="9"/>
      <c r="T43" s="9"/>
    </row>
    <row r="44" spans="1:20" ht="16.95" customHeight="1">
      <c r="A44" s="49"/>
      <c r="B44" s="55"/>
      <c r="C44" s="39" t="s">
        <v>99</v>
      </c>
      <c r="D44" s="33"/>
      <c r="E44" s="32"/>
      <c r="F44" s="90">
        <v>32</v>
      </c>
      <c r="G44" s="32" t="s">
        <v>100</v>
      </c>
      <c r="H44" s="32"/>
      <c r="I44" s="150"/>
      <c r="J44" s="9"/>
      <c r="K44" s="9"/>
      <c r="Q44" s="109"/>
      <c r="R44" s="9"/>
      <c r="S44" s="9"/>
      <c r="T44" s="9"/>
    </row>
    <row r="45" spans="1:20" ht="16.95" customHeight="1" thickBot="1">
      <c r="A45" s="49"/>
      <c r="B45" s="58"/>
      <c r="C45" s="59" t="s">
        <v>101</v>
      </c>
      <c r="D45" s="59"/>
      <c r="E45" s="60"/>
      <c r="F45" s="98">
        <v>24</v>
      </c>
      <c r="G45" s="60" t="s">
        <v>102</v>
      </c>
      <c r="H45" s="60"/>
      <c r="I45" s="160"/>
      <c r="J45" s="59"/>
      <c r="K45" s="9"/>
      <c r="Q45" s="109"/>
      <c r="R45" s="9"/>
      <c r="S45" s="9"/>
      <c r="T45" s="9"/>
    </row>
    <row r="46" spans="1:20" ht="16.95" customHeight="1" thickBot="1">
      <c r="A46" s="49"/>
      <c r="B46" s="50" t="s">
        <v>103</v>
      </c>
      <c r="C46" s="51"/>
      <c r="D46" s="52"/>
      <c r="E46" s="53"/>
      <c r="F46" s="97" t="s">
        <v>109</v>
      </c>
      <c r="G46" s="137">
        <f>IF(F46="ON",1,0)</f>
        <v>0</v>
      </c>
      <c r="H46" s="53"/>
      <c r="I46" s="157"/>
      <c r="J46" s="54"/>
      <c r="K46" s="9"/>
      <c r="Q46" s="109"/>
      <c r="R46" s="9"/>
      <c r="S46" s="9"/>
      <c r="T46" s="9"/>
    </row>
    <row r="47" spans="1:20" ht="16.95" hidden="1" customHeight="1">
      <c r="A47" s="49"/>
      <c r="B47" s="55"/>
      <c r="C47" s="39" t="s">
        <v>104</v>
      </c>
      <c r="D47" s="56">
        <v>4800</v>
      </c>
      <c r="E47" s="32" t="s">
        <v>95</v>
      </c>
      <c r="F47" s="89">
        <f>D47</f>
        <v>4800</v>
      </c>
      <c r="G47" s="32" t="s">
        <v>90</v>
      </c>
      <c r="H47" s="32" t="s">
        <v>96</v>
      </c>
      <c r="I47" s="158">
        <f>1000*100*10</f>
        <v>1000000</v>
      </c>
      <c r="J47" s="32" t="s">
        <v>85</v>
      </c>
      <c r="K47" s="9"/>
      <c r="Q47" s="109"/>
      <c r="R47" s="9"/>
      <c r="S47" s="9"/>
      <c r="T47" s="9"/>
    </row>
    <row r="48" spans="1:20" ht="16.95" hidden="1" customHeight="1">
      <c r="A48" s="49"/>
      <c r="B48" s="55"/>
      <c r="C48" s="39" t="s">
        <v>105</v>
      </c>
      <c r="D48" s="56">
        <v>1</v>
      </c>
      <c r="E48" s="32" t="s">
        <v>98</v>
      </c>
      <c r="F48" s="89">
        <f>F47*I48/I47</f>
        <v>0.12192</v>
      </c>
      <c r="G48" s="32" t="s">
        <v>90</v>
      </c>
      <c r="H48" s="32" t="s">
        <v>96</v>
      </c>
      <c r="I48" s="159">
        <f>25.4*D48</f>
        <v>25.4</v>
      </c>
      <c r="J48" s="32" t="s">
        <v>85</v>
      </c>
      <c r="K48" s="9"/>
      <c r="Q48" s="109"/>
      <c r="R48" s="9"/>
      <c r="S48" s="9"/>
      <c r="T48" s="9"/>
    </row>
    <row r="49" spans="1:20" ht="16.95" hidden="1" customHeight="1">
      <c r="A49" s="49"/>
      <c r="B49" s="55"/>
      <c r="C49" s="39" t="s">
        <v>106</v>
      </c>
      <c r="D49" s="33"/>
      <c r="E49" s="32"/>
      <c r="F49" s="90">
        <v>48</v>
      </c>
      <c r="G49" s="32" t="s">
        <v>100</v>
      </c>
      <c r="H49" s="32"/>
      <c r="I49" s="150"/>
      <c r="J49" s="9"/>
      <c r="K49" s="44"/>
      <c r="Q49" s="109"/>
      <c r="R49" s="9"/>
      <c r="S49" s="9"/>
      <c r="T49" s="9"/>
    </row>
    <row r="50" spans="1:20" ht="16.95" hidden="1" customHeight="1" thickBot="1">
      <c r="A50" s="49"/>
      <c r="B50" s="58"/>
      <c r="C50" s="59" t="s">
        <v>107</v>
      </c>
      <c r="D50" s="59"/>
      <c r="E50" s="60"/>
      <c r="F50" s="98">
        <v>24</v>
      </c>
      <c r="G50" s="60" t="s">
        <v>102</v>
      </c>
      <c r="H50" s="60"/>
      <c r="I50" s="160"/>
      <c r="J50" s="59"/>
      <c r="K50" s="32"/>
      <c r="Q50" s="9"/>
      <c r="R50" s="9"/>
      <c r="S50" s="9"/>
      <c r="T50" s="9"/>
    </row>
    <row r="51" spans="1:20" ht="16.95" customHeight="1" thickBot="1">
      <c r="A51" s="49"/>
      <c r="B51" s="61" t="s">
        <v>108</v>
      </c>
      <c r="C51" s="62"/>
      <c r="D51" s="63"/>
      <c r="E51" s="64"/>
      <c r="F51" s="99" t="s">
        <v>109</v>
      </c>
      <c r="G51" s="138">
        <f>IF(F51="ON",1,0)</f>
        <v>0</v>
      </c>
      <c r="H51" s="64"/>
      <c r="I51" s="161"/>
      <c r="J51" s="65"/>
      <c r="K51" s="32"/>
      <c r="Q51" s="9"/>
      <c r="R51" s="9"/>
      <c r="S51" s="9"/>
      <c r="T51" s="9"/>
    </row>
    <row r="52" spans="1:20" ht="16.95" hidden="1" customHeight="1">
      <c r="A52" s="9"/>
      <c r="B52" s="9"/>
      <c r="C52" s="39" t="s">
        <v>110</v>
      </c>
      <c r="D52" s="66">
        <v>4800</v>
      </c>
      <c r="E52" s="32" t="s">
        <v>95</v>
      </c>
      <c r="F52" s="89">
        <f>D52</f>
        <v>4800</v>
      </c>
      <c r="G52" s="32" t="s">
        <v>90</v>
      </c>
      <c r="H52" s="32" t="s">
        <v>96</v>
      </c>
      <c r="I52" s="158">
        <f>1000*100*10</f>
        <v>1000000</v>
      </c>
      <c r="J52" s="32" t="s">
        <v>85</v>
      </c>
      <c r="K52" s="9"/>
      <c r="Q52" s="9"/>
      <c r="R52" s="9"/>
      <c r="S52" s="9"/>
      <c r="T52" s="9"/>
    </row>
    <row r="53" spans="1:20" ht="16.95" hidden="1" customHeight="1">
      <c r="B53" s="9"/>
      <c r="C53" s="39" t="s">
        <v>111</v>
      </c>
      <c r="D53" s="67">
        <v>48</v>
      </c>
      <c r="E53" s="32" t="s">
        <v>112</v>
      </c>
      <c r="F53" s="89">
        <f>F52*I53/I52</f>
        <v>4.8</v>
      </c>
      <c r="G53" s="32" t="s">
        <v>90</v>
      </c>
      <c r="H53" s="32" t="s">
        <v>96</v>
      </c>
      <c r="I53" s="159">
        <f>1000</f>
        <v>1000</v>
      </c>
      <c r="J53" s="32" t="s">
        <v>85</v>
      </c>
      <c r="K53" s="9"/>
      <c r="Q53" s="9"/>
    </row>
    <row r="54" spans="1:20" ht="16.95" hidden="1" customHeight="1" thickBot="1">
      <c r="B54" s="9"/>
      <c r="C54" s="39"/>
      <c r="D54" s="39"/>
      <c r="E54" s="32"/>
      <c r="F54" s="89"/>
      <c r="G54" s="32"/>
      <c r="H54" s="32"/>
      <c r="I54" s="159"/>
      <c r="J54" s="32"/>
      <c r="K54" s="44"/>
      <c r="Q54" s="9"/>
    </row>
    <row r="55" spans="1:20" ht="16.95" customHeight="1" thickBot="1">
      <c r="B55" s="61" t="s">
        <v>113</v>
      </c>
      <c r="C55" s="62"/>
      <c r="D55" s="63"/>
      <c r="E55" s="64"/>
      <c r="F55" s="99" t="s">
        <v>109</v>
      </c>
      <c r="G55" s="138">
        <f>IF(F55="ON",1,0)</f>
        <v>0</v>
      </c>
      <c r="H55" s="64"/>
      <c r="I55" s="161"/>
      <c r="J55" s="65"/>
      <c r="K55" s="32"/>
      <c r="Q55" s="9"/>
    </row>
    <row r="56" spans="1:20" ht="16.95" hidden="1" customHeight="1">
      <c r="B56" s="55"/>
      <c r="C56" s="9" t="s">
        <v>113</v>
      </c>
      <c r="D56" s="68">
        <v>580</v>
      </c>
      <c r="E56" s="32" t="s">
        <v>86</v>
      </c>
      <c r="F56" s="100">
        <f>D56</f>
        <v>580</v>
      </c>
      <c r="G56" s="32" t="s">
        <v>90</v>
      </c>
      <c r="H56" s="32" t="s">
        <v>96</v>
      </c>
      <c r="I56" s="159">
        <f>1000</f>
        <v>1000</v>
      </c>
      <c r="J56" s="32" t="s">
        <v>85</v>
      </c>
      <c r="K56" s="32"/>
      <c r="Q56" s="9"/>
    </row>
    <row r="57" spans="1:20" ht="16.95" hidden="1" customHeight="1">
      <c r="B57" s="9"/>
      <c r="C57" s="9"/>
      <c r="D57" s="9"/>
      <c r="E57" s="32"/>
      <c r="F57" s="87"/>
      <c r="G57" s="32"/>
      <c r="H57" s="32"/>
      <c r="I57" s="150"/>
      <c r="J57" s="9"/>
      <c r="K57" s="9"/>
      <c r="Q57" s="9"/>
    </row>
    <row r="58" spans="1:20" ht="16.95" customHeight="1">
      <c r="B58" s="9"/>
      <c r="C58" s="9"/>
      <c r="D58" s="9"/>
      <c r="E58" s="32"/>
      <c r="F58" s="87"/>
      <c r="G58" s="32"/>
      <c r="H58" s="32"/>
      <c r="I58" s="150"/>
      <c r="J58" s="9"/>
      <c r="K58" s="9"/>
      <c r="Q58" s="9"/>
    </row>
    <row r="59" spans="1:20" ht="16.95" customHeight="1">
      <c r="B59" s="9"/>
      <c r="C59" s="45" t="s">
        <v>114</v>
      </c>
      <c r="D59" s="46"/>
      <c r="E59" s="47"/>
      <c r="F59" s="101">
        <f>IF(G41=0,0,IF(G46=1,(F31-F61-F62)/2,(F31-F61-F62)))</f>
        <v>1299.999993120008</v>
      </c>
      <c r="G59" s="22" t="s">
        <v>90</v>
      </c>
      <c r="H59" s="22" t="s">
        <v>96</v>
      </c>
      <c r="I59" s="162" t="s">
        <v>115</v>
      </c>
      <c r="J59" s="69">
        <f>F59/F35</f>
        <v>1</v>
      </c>
      <c r="K59" s="9"/>
      <c r="Q59" s="9"/>
    </row>
    <row r="60" spans="1:20" ht="16.95" customHeight="1">
      <c r="B60" s="9"/>
      <c r="C60" s="45" t="s">
        <v>116</v>
      </c>
      <c r="D60" s="46"/>
      <c r="E60" s="47"/>
      <c r="F60" s="101">
        <f>IF(G46=0,0,IF(G41=1,(F31-F61-F62)/2,F31-F61-F62))</f>
        <v>0</v>
      </c>
      <c r="G60" s="22" t="s">
        <v>90</v>
      </c>
      <c r="H60" s="22" t="s">
        <v>96</v>
      </c>
      <c r="I60" s="162" t="s">
        <v>115</v>
      </c>
      <c r="J60" s="9"/>
      <c r="K60" s="44"/>
      <c r="Q60" s="9"/>
    </row>
    <row r="61" spans="1:20" ht="16.95" customHeight="1">
      <c r="B61" s="9"/>
      <c r="C61" s="45" t="s">
        <v>117</v>
      </c>
      <c r="D61" s="46"/>
      <c r="E61" s="47"/>
      <c r="F61" s="101">
        <f>IF(G51=0,0,F53*D53)</f>
        <v>0</v>
      </c>
      <c r="G61" s="22" t="s">
        <v>90</v>
      </c>
      <c r="H61" s="22" t="s">
        <v>96</v>
      </c>
      <c r="I61" s="162" t="s">
        <v>115</v>
      </c>
      <c r="J61" s="69">
        <f>F61/F34</f>
        <v>0</v>
      </c>
      <c r="K61" s="32"/>
      <c r="Q61" s="9"/>
    </row>
    <row r="62" spans="1:20" ht="16.95" customHeight="1">
      <c r="B62" s="9"/>
      <c r="C62" s="45" t="s">
        <v>118</v>
      </c>
      <c r="D62" s="46"/>
      <c r="E62" s="47"/>
      <c r="F62" s="101">
        <f>IF(G55=0,0,F56)</f>
        <v>0</v>
      </c>
      <c r="G62" s="22" t="s">
        <v>90</v>
      </c>
      <c r="H62" s="22" t="s">
        <v>96</v>
      </c>
      <c r="I62" s="162" t="s">
        <v>115</v>
      </c>
      <c r="J62" s="9"/>
      <c r="K62" s="32"/>
    </row>
    <row r="63" spans="1:20" ht="16.95" customHeight="1">
      <c r="B63" s="70"/>
      <c r="C63" s="10" t="s">
        <v>119</v>
      </c>
      <c r="D63" s="10"/>
      <c r="E63" s="22"/>
      <c r="F63" s="101">
        <f>F60+F59+F61+F62</f>
        <v>1299.999993120008</v>
      </c>
      <c r="G63" s="22" t="s">
        <v>90</v>
      </c>
      <c r="H63" s="22" t="s">
        <v>96</v>
      </c>
      <c r="I63" s="162" t="s">
        <v>115</v>
      </c>
      <c r="J63" s="9"/>
      <c r="K63" s="32"/>
    </row>
    <row r="64" spans="1:20" ht="16.95" customHeight="1">
      <c r="B64" s="9"/>
      <c r="C64" s="9"/>
      <c r="D64" s="9"/>
      <c r="E64" s="9"/>
      <c r="F64" s="9"/>
      <c r="G64" s="32"/>
      <c r="H64" s="9"/>
      <c r="I64" s="150"/>
      <c r="J64" s="9"/>
      <c r="K64" s="44"/>
    </row>
    <row r="65" spans="1:32" ht="16.95" customHeight="1">
      <c r="B65" s="70"/>
      <c r="C65" s="115" t="s">
        <v>26</v>
      </c>
      <c r="D65" s="115"/>
      <c r="E65" s="117" t="s">
        <v>27</v>
      </c>
      <c r="F65" s="118"/>
      <c r="G65" s="111" t="s">
        <v>0</v>
      </c>
      <c r="H65" s="32"/>
      <c r="I65" s="150"/>
      <c r="J65" s="9"/>
      <c r="K65" s="9"/>
    </row>
    <row r="66" spans="1:32" ht="16.95" customHeight="1">
      <c r="B66" s="39"/>
      <c r="C66" s="188" t="s">
        <v>121</v>
      </c>
      <c r="D66" s="189"/>
      <c r="E66" s="190"/>
      <c r="F66" s="102">
        <f>(F59*F5)/(F43*F44*F45)</f>
        <v>69.418812515379372</v>
      </c>
      <c r="G66" s="183" t="s">
        <v>122</v>
      </c>
      <c r="H66" s="184"/>
      <c r="I66" s="185"/>
      <c r="J66" s="9"/>
      <c r="K66" s="9"/>
    </row>
    <row r="67" spans="1:32" ht="16.95" customHeight="1">
      <c r="B67" s="39"/>
      <c r="C67" s="188" t="s">
        <v>123</v>
      </c>
      <c r="D67" s="189"/>
      <c r="E67" s="190"/>
      <c r="F67" s="102">
        <f>(F60*F5)/(F48*F49*F50)</f>
        <v>0</v>
      </c>
      <c r="G67" s="183" t="s">
        <v>122</v>
      </c>
      <c r="H67" s="184"/>
      <c r="I67" s="185"/>
      <c r="J67" s="9"/>
      <c r="K67" s="9"/>
    </row>
    <row r="68" spans="1:32" ht="16.95" customHeight="1">
      <c r="K68" s="9"/>
    </row>
    <row r="69" spans="1:32" ht="16.95" customHeight="1">
      <c r="A69" s="9"/>
      <c r="B69" s="9"/>
      <c r="C69" s="179" t="s">
        <v>2</v>
      </c>
      <c r="D69" s="180"/>
      <c r="E69" s="6" t="s">
        <v>3</v>
      </c>
      <c r="F69" s="133">
        <v>2.4046491701215391</v>
      </c>
      <c r="G69" s="6" t="s">
        <v>4</v>
      </c>
      <c r="H69" s="9"/>
      <c r="I69" s="150"/>
      <c r="J69" s="35"/>
      <c r="K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</row>
    <row r="70" spans="1:32">
      <c r="A70" s="9"/>
      <c r="C70" s="105" t="s">
        <v>137</v>
      </c>
      <c r="D70" s="105"/>
      <c r="E70" s="82" t="s">
        <v>3</v>
      </c>
      <c r="F70" s="93">
        <f>F69/2</f>
        <v>1.2023245850607696</v>
      </c>
      <c r="G70" s="82"/>
      <c r="K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 t="e">
        <f>#REF!/(#REF!*#REF!*#REF!)*1000</f>
        <v>#REF!</v>
      </c>
      <c r="AC70" s="9" t="s">
        <v>120</v>
      </c>
      <c r="AD70" s="9" t="e">
        <f>AB70*10</f>
        <v>#REF!</v>
      </c>
      <c r="AE70" s="9"/>
      <c r="AF70" s="9"/>
    </row>
    <row r="71" spans="1:32">
      <c r="A71" s="9"/>
      <c r="C71" s="105" t="s">
        <v>138</v>
      </c>
      <c r="D71" s="105"/>
      <c r="E71" s="82" t="s">
        <v>3</v>
      </c>
      <c r="F71" s="93">
        <f>F69/2</f>
        <v>1.2023245850607696</v>
      </c>
      <c r="G71" s="82"/>
      <c r="K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</row>
    <row r="72" spans="1:32" ht="16.95" customHeight="1">
      <c r="A72" s="9"/>
      <c r="K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</row>
    <row r="73" spans="1:32" ht="16.95" customHeight="1">
      <c r="A73" s="9"/>
      <c r="K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</row>
    <row r="74" spans="1:32">
      <c r="A74" s="9"/>
      <c r="B74" s="39"/>
      <c r="C74" s="9"/>
      <c r="D74" s="33"/>
      <c r="E74" s="32"/>
      <c r="F74" s="87"/>
      <c r="G74" s="32"/>
      <c r="H74" s="32"/>
      <c r="I74" s="150"/>
      <c r="J74" s="9"/>
      <c r="K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</row>
    <row r="75" spans="1:32" ht="17.399999999999999" hidden="1" customHeight="1">
      <c r="A75" s="9"/>
      <c r="B75" s="39"/>
      <c r="C75" s="9"/>
      <c r="D75" s="33"/>
      <c r="E75" s="32"/>
      <c r="F75" s="87"/>
      <c r="G75" s="32"/>
      <c r="H75" s="32"/>
      <c r="I75" s="150"/>
      <c r="J75" s="9"/>
      <c r="K75" s="9"/>
      <c r="L75"/>
      <c r="M75" s="4"/>
      <c r="N75" s="130"/>
      <c r="O75" s="4"/>
      <c r="P75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</row>
    <row r="76" spans="1:32" ht="17.399999999999999" hidden="1" customHeight="1">
      <c r="A76" s="9"/>
      <c r="B76" s="39"/>
      <c r="C76" s="9"/>
      <c r="D76" s="33"/>
      <c r="E76" s="32"/>
      <c r="F76" s="87"/>
      <c r="G76" s="32"/>
      <c r="H76" s="32"/>
      <c r="I76" s="150"/>
      <c r="J76" s="9"/>
      <c r="K76" s="9"/>
      <c r="L76" s="9"/>
      <c r="M76" s="9"/>
      <c r="N76" s="30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</row>
    <row r="77" spans="1:32" ht="17.399999999999999" hidden="1" customHeight="1">
      <c r="A77" s="9"/>
      <c r="B77" s="39"/>
      <c r="C77" s="9"/>
      <c r="D77" s="33"/>
      <c r="E77" s="32"/>
      <c r="F77" s="87"/>
      <c r="G77" s="32"/>
      <c r="H77" s="32"/>
      <c r="I77" s="150"/>
      <c r="J77" s="9"/>
      <c r="K77" s="9"/>
      <c r="L77" s="9"/>
      <c r="M77" s="9"/>
      <c r="N77" s="30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</row>
    <row r="78" spans="1:32" ht="17.399999999999999" hidden="1" customHeight="1">
      <c r="A78" s="9"/>
      <c r="B78" s="39"/>
      <c r="C78" s="9"/>
      <c r="D78" s="33"/>
      <c r="E78" s="32"/>
      <c r="F78" s="87"/>
      <c r="G78" s="32"/>
      <c r="H78" s="32"/>
      <c r="I78" s="150"/>
      <c r="J78" s="9"/>
      <c r="K78" s="9"/>
      <c r="L78" s="9"/>
      <c r="M78" s="9"/>
      <c r="N78" s="30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</row>
    <row r="79" spans="1:32" hidden="1">
      <c r="A79" s="9"/>
      <c r="B79" s="39"/>
      <c r="C79" s="39"/>
      <c r="D79" s="9"/>
      <c r="E79" s="32"/>
      <c r="F79" s="87"/>
      <c r="G79" s="32"/>
      <c r="H79" s="9"/>
      <c r="I79" s="150"/>
      <c r="J79" s="9"/>
      <c r="K79" s="9"/>
      <c r="L79" s="9"/>
      <c r="M79" s="9"/>
      <c r="N79" s="30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</row>
    <row r="80" spans="1:32" hidden="1">
      <c r="B80" s="9"/>
      <c r="C80" s="9"/>
      <c r="D80" s="33"/>
      <c r="E80" s="32"/>
      <c r="F80" s="87"/>
      <c r="G80" s="32"/>
      <c r="H80" s="32"/>
      <c r="I80" s="150"/>
      <c r="J80" s="9"/>
      <c r="K80" s="9"/>
    </row>
    <row r="81" spans="2:11" hidden="1">
      <c r="B81" s="9"/>
      <c r="C81" s="9"/>
      <c r="D81" s="33"/>
      <c r="E81" s="32"/>
      <c r="F81" s="87"/>
      <c r="G81" s="32"/>
      <c r="H81" s="32"/>
      <c r="I81" s="150"/>
      <c r="J81" s="9"/>
      <c r="K81" s="9"/>
    </row>
    <row r="82" spans="2:11" hidden="1">
      <c r="B82" s="9"/>
      <c r="C82" s="9"/>
      <c r="D82" s="33"/>
      <c r="E82" s="32"/>
      <c r="F82" s="87"/>
      <c r="G82" s="32"/>
      <c r="H82" s="32"/>
      <c r="I82" s="150"/>
      <c r="J82" s="9"/>
      <c r="K82" s="9"/>
    </row>
    <row r="83" spans="2:11" hidden="1">
      <c r="B83" s="9"/>
      <c r="C83" s="9"/>
      <c r="D83" s="33"/>
      <c r="E83" s="32"/>
      <c r="F83" s="87"/>
      <c r="G83" s="32"/>
      <c r="H83" s="32"/>
      <c r="I83" s="150"/>
      <c r="J83" s="9"/>
      <c r="K83" s="9"/>
    </row>
    <row r="84" spans="2:11" hidden="1">
      <c r="B84" s="9"/>
      <c r="C84" s="9"/>
      <c r="D84" s="33"/>
      <c r="E84" s="32"/>
      <c r="F84" s="87"/>
      <c r="G84" s="32"/>
      <c r="H84" s="32"/>
      <c r="I84" s="150"/>
      <c r="J84" s="9"/>
      <c r="K84" s="9"/>
    </row>
    <row r="85" spans="2:11" hidden="1">
      <c r="B85" s="9"/>
      <c r="C85" s="9"/>
      <c r="D85" s="33"/>
      <c r="E85" s="32"/>
      <c r="F85" s="87"/>
      <c r="G85" s="32"/>
      <c r="H85" s="32"/>
      <c r="I85" s="150"/>
      <c r="J85" s="9"/>
      <c r="K85" s="9"/>
    </row>
    <row r="86" spans="2:11" hidden="1">
      <c r="B86" s="9"/>
      <c r="C86" s="9"/>
      <c r="D86" s="33"/>
      <c r="E86" s="32"/>
      <c r="F86" s="87"/>
      <c r="G86" s="32"/>
      <c r="H86" s="32"/>
      <c r="I86" s="150"/>
      <c r="J86" s="9"/>
      <c r="K86" s="9"/>
    </row>
    <row r="87" spans="2:11" hidden="1">
      <c r="B87" s="9"/>
      <c r="C87" s="9"/>
      <c r="D87" s="33"/>
      <c r="E87" s="32"/>
      <c r="F87" s="87"/>
      <c r="G87" s="32"/>
      <c r="H87" s="32"/>
      <c r="I87" s="150"/>
      <c r="J87" s="9"/>
      <c r="K87" s="9"/>
    </row>
    <row r="88" spans="2:11" hidden="1">
      <c r="B88" s="39"/>
      <c r="C88" s="39"/>
      <c r="D88" s="33"/>
      <c r="E88" s="32"/>
      <c r="F88" s="89"/>
      <c r="G88" s="32"/>
      <c r="H88" s="32"/>
      <c r="I88" s="150"/>
      <c r="J88" s="9"/>
      <c r="K88" s="9"/>
    </row>
    <row r="89" spans="2:11" hidden="1">
      <c r="B89" s="9"/>
      <c r="C89" s="9"/>
      <c r="D89" s="33"/>
      <c r="E89" s="32"/>
      <c r="F89" s="87"/>
      <c r="G89" s="32"/>
      <c r="H89" s="32"/>
      <c r="I89" s="150"/>
      <c r="J89" s="9"/>
      <c r="K89" s="9"/>
    </row>
    <row r="90" spans="2:11" hidden="1">
      <c r="B90" s="9"/>
      <c r="C90" s="9"/>
      <c r="D90" s="33"/>
      <c r="E90" s="32"/>
      <c r="F90" s="87"/>
      <c r="G90" s="32"/>
      <c r="H90" s="32"/>
      <c r="I90" s="150"/>
      <c r="J90" s="9"/>
      <c r="K90" s="9"/>
    </row>
    <row r="91" spans="2:11" hidden="1">
      <c r="B91" s="9"/>
      <c r="C91" s="9"/>
      <c r="D91" s="33"/>
      <c r="E91" s="32"/>
      <c r="F91" s="87"/>
      <c r="G91" s="32"/>
      <c r="H91" s="32"/>
      <c r="I91" s="150"/>
      <c r="J91" s="9"/>
      <c r="K91" s="9"/>
    </row>
    <row r="92" spans="2:11" hidden="1">
      <c r="B92" s="57"/>
      <c r="C92" s="57"/>
      <c r="D92" s="57"/>
      <c r="E92" s="116"/>
      <c r="F92" s="89"/>
      <c r="G92" s="32"/>
      <c r="H92" s="32"/>
      <c r="I92" s="159"/>
      <c r="J92" s="32"/>
      <c r="K92" s="32"/>
    </row>
    <row r="93" spans="2:11" hidden="1">
      <c r="B93" s="9"/>
      <c r="C93" s="9"/>
      <c r="D93" s="33"/>
      <c r="E93" s="32"/>
      <c r="F93" s="87"/>
      <c r="G93" s="32"/>
      <c r="H93" s="32"/>
      <c r="I93" s="150"/>
      <c r="J93" s="9"/>
      <c r="K93" s="9"/>
    </row>
    <row r="94" spans="2:11">
      <c r="B94" s="9"/>
      <c r="C94" s="9"/>
      <c r="D94" s="33"/>
      <c r="E94" s="32"/>
      <c r="F94" s="87"/>
      <c r="G94" s="32"/>
      <c r="H94" s="32"/>
      <c r="I94" s="150"/>
      <c r="J94" s="9"/>
      <c r="K94" s="9"/>
    </row>
    <row r="95" spans="2:11">
      <c r="B95" s="9"/>
      <c r="C95" s="9"/>
      <c r="D95" s="33"/>
      <c r="E95" s="32"/>
      <c r="F95" s="87"/>
      <c r="G95" s="32"/>
      <c r="H95" s="32"/>
      <c r="I95" s="150"/>
      <c r="J95" s="9"/>
      <c r="K95" s="9"/>
    </row>
    <row r="96" spans="2:11" hidden="1">
      <c r="B96" s="9"/>
      <c r="C96" s="9"/>
      <c r="D96" s="33"/>
      <c r="E96" s="32"/>
      <c r="F96" s="87"/>
      <c r="G96" s="32"/>
      <c r="H96" s="32"/>
      <c r="I96" s="150"/>
      <c r="J96" s="9"/>
      <c r="K96" s="9"/>
    </row>
    <row r="97" spans="2:11" hidden="1">
      <c r="B97" s="39"/>
      <c r="C97" s="39"/>
      <c r="D97" s="33"/>
      <c r="E97" s="32"/>
      <c r="F97" s="103"/>
      <c r="G97" s="32"/>
      <c r="H97" s="32"/>
      <c r="I97" s="150"/>
      <c r="J97" s="9"/>
      <c r="K97" s="9"/>
    </row>
    <row r="98" spans="2:11" hidden="1">
      <c r="B98" s="9"/>
      <c r="C98" s="9"/>
      <c r="D98" s="33"/>
      <c r="E98" s="32"/>
      <c r="F98" s="87"/>
      <c r="G98" s="32"/>
      <c r="H98" s="32"/>
      <c r="I98" s="150"/>
      <c r="J98" s="71"/>
      <c r="K98" s="71"/>
    </row>
    <row r="99" spans="2:11" hidden="1">
      <c r="B99" s="39"/>
      <c r="C99" s="39"/>
      <c r="D99" s="33"/>
      <c r="E99" s="32"/>
      <c r="F99" s="104"/>
      <c r="G99" s="32"/>
      <c r="H99" s="32"/>
      <c r="I99" s="150"/>
      <c r="J99" s="9"/>
      <c r="K99" s="9"/>
    </row>
    <row r="100" spans="2:11" hidden="1">
      <c r="B100" s="9"/>
      <c r="C100" s="9"/>
      <c r="D100" s="33"/>
      <c r="E100" s="32"/>
      <c r="F100" s="87"/>
      <c r="G100" s="32"/>
      <c r="H100" s="32"/>
      <c r="I100" s="150"/>
      <c r="J100" s="9"/>
      <c r="K100" s="9"/>
    </row>
    <row r="101" spans="2:11" hidden="1">
      <c r="B101" s="9"/>
      <c r="C101" s="9" t="s">
        <v>124</v>
      </c>
      <c r="D101" s="33" t="s">
        <v>125</v>
      </c>
      <c r="E101" s="32"/>
      <c r="F101" s="87" t="s">
        <v>126</v>
      </c>
      <c r="G101" s="32"/>
      <c r="H101" s="32"/>
      <c r="I101" s="150"/>
      <c r="J101" s="9"/>
      <c r="K101" s="9"/>
    </row>
    <row r="102" spans="2:11" hidden="1">
      <c r="B102" s="9"/>
      <c r="C102" s="32">
        <v>2400</v>
      </c>
      <c r="D102" s="72">
        <v>0.5</v>
      </c>
      <c r="E102" s="32"/>
      <c r="F102" s="87" t="s">
        <v>127</v>
      </c>
      <c r="G102" s="32"/>
      <c r="H102" s="32"/>
      <c r="I102" s="150"/>
      <c r="J102" s="9"/>
      <c r="K102" s="9"/>
    </row>
    <row r="103" spans="2:11" hidden="1">
      <c r="B103" s="9"/>
      <c r="C103" s="32">
        <v>4400</v>
      </c>
      <c r="D103" s="33">
        <v>1</v>
      </c>
      <c r="E103" s="32"/>
      <c r="F103" s="87"/>
      <c r="G103" s="32"/>
      <c r="H103" s="32"/>
      <c r="I103" s="150"/>
      <c r="J103" s="9"/>
      <c r="K103" s="9"/>
    </row>
    <row r="104" spans="2:11" hidden="1">
      <c r="B104" s="9"/>
      <c r="C104" s="32">
        <v>4800</v>
      </c>
      <c r="D104" s="33">
        <v>2</v>
      </c>
      <c r="E104" s="32"/>
      <c r="F104" s="87"/>
      <c r="G104" s="32"/>
      <c r="H104" s="32"/>
      <c r="I104" s="150"/>
      <c r="J104" s="9"/>
      <c r="K104" s="9"/>
    </row>
    <row r="105" spans="2:11" hidden="1">
      <c r="B105" s="9"/>
      <c r="C105" s="32">
        <v>9600</v>
      </c>
      <c r="D105" s="33"/>
      <c r="E105" s="32"/>
      <c r="F105" s="87"/>
      <c r="G105" s="32"/>
      <c r="H105" s="32"/>
      <c r="I105" s="150"/>
      <c r="J105" s="9"/>
      <c r="K105" s="9"/>
    </row>
    <row r="106" spans="2:11" hidden="1">
      <c r="B106" s="9"/>
      <c r="C106" s="9"/>
      <c r="D106" s="33"/>
      <c r="E106" s="32"/>
      <c r="F106" s="87"/>
      <c r="G106" s="32"/>
      <c r="H106" s="32"/>
      <c r="I106" s="150"/>
      <c r="J106" s="9"/>
      <c r="K106" s="9"/>
    </row>
    <row r="107" spans="2:11" hidden="1">
      <c r="B107" s="9"/>
      <c r="C107" s="9"/>
      <c r="D107" s="33"/>
      <c r="E107" s="32"/>
      <c r="F107" s="87"/>
      <c r="G107" s="32"/>
      <c r="H107" s="32"/>
      <c r="I107" s="150"/>
      <c r="J107" s="9"/>
      <c r="K107" s="9"/>
    </row>
    <row r="108" spans="2:11" hidden="1">
      <c r="B108" s="9"/>
      <c r="C108" s="9"/>
      <c r="D108" s="33"/>
      <c r="E108" s="32"/>
      <c r="F108" s="87"/>
      <c r="G108" s="32"/>
      <c r="H108" s="32"/>
      <c r="I108" s="150"/>
      <c r="J108" s="9"/>
      <c r="K108" s="9"/>
    </row>
    <row r="109" spans="2:11" hidden="1">
      <c r="B109" s="9"/>
      <c r="C109" s="9"/>
      <c r="D109" s="33"/>
      <c r="E109" s="32"/>
      <c r="F109" s="87"/>
      <c r="G109" s="32"/>
      <c r="H109" s="32"/>
      <c r="I109" s="150"/>
      <c r="J109" s="9"/>
      <c r="K109" s="9"/>
    </row>
    <row r="110" spans="2:11" hidden="1">
      <c r="B110" s="9"/>
      <c r="C110" s="9"/>
      <c r="D110" s="33"/>
      <c r="E110" s="32"/>
      <c r="F110" s="87"/>
      <c r="G110" s="32"/>
      <c r="H110" s="32"/>
      <c r="I110" s="150"/>
      <c r="J110" s="9"/>
      <c r="K110" s="9"/>
    </row>
    <row r="111" spans="2:11" hidden="1">
      <c r="B111" s="9"/>
      <c r="C111" s="9"/>
      <c r="D111" s="33"/>
      <c r="E111" s="32"/>
      <c r="F111" s="87"/>
      <c r="G111" s="32"/>
      <c r="H111" s="32"/>
      <c r="I111" s="150"/>
      <c r="J111" s="9"/>
      <c r="K111" s="9"/>
    </row>
    <row r="112" spans="2:11" hidden="1">
      <c r="F112" s="87"/>
    </row>
    <row r="113" spans="6:6">
      <c r="F113" s="87"/>
    </row>
    <row r="114" spans="6:6">
      <c r="F114" s="87"/>
    </row>
    <row r="115" spans="6:6" hidden="1">
      <c r="F115" s="87"/>
    </row>
    <row r="116" spans="6:6" hidden="1">
      <c r="F116" s="87">
        <v>1</v>
      </c>
    </row>
    <row r="117" spans="6:6" hidden="1">
      <c r="F117" s="87">
        <v>2</v>
      </c>
    </row>
    <row r="118" spans="6:6" hidden="1">
      <c r="F118" s="87">
        <v>3</v>
      </c>
    </row>
    <row r="119" spans="6:6" hidden="1">
      <c r="F119" s="87">
        <v>4</v>
      </c>
    </row>
    <row r="120" spans="6:6" hidden="1">
      <c r="F120" s="87">
        <v>5</v>
      </c>
    </row>
    <row r="121" spans="6:6" hidden="1">
      <c r="F121" s="87">
        <v>6</v>
      </c>
    </row>
    <row r="122" spans="6:6" hidden="1">
      <c r="F122" s="87">
        <v>7</v>
      </c>
    </row>
    <row r="123" spans="6:6" hidden="1">
      <c r="F123" s="87">
        <v>8</v>
      </c>
    </row>
    <row r="124" spans="6:6" hidden="1">
      <c r="F124" s="87">
        <v>9</v>
      </c>
    </row>
    <row r="125" spans="6:6" hidden="1">
      <c r="F125" s="87">
        <v>10</v>
      </c>
    </row>
    <row r="126" spans="6:6" hidden="1">
      <c r="F126" s="87">
        <v>11</v>
      </c>
    </row>
    <row r="127" spans="6:6" hidden="1">
      <c r="F127" s="87">
        <v>12</v>
      </c>
    </row>
    <row r="128" spans="6:6" hidden="1">
      <c r="F128" s="87">
        <v>13</v>
      </c>
    </row>
    <row r="129" spans="6:6" hidden="1">
      <c r="F129" s="87">
        <v>14</v>
      </c>
    </row>
    <row r="130" spans="6:6" hidden="1">
      <c r="F130" s="87">
        <v>15</v>
      </c>
    </row>
    <row r="131" spans="6:6" hidden="1">
      <c r="F131" s="87">
        <v>16</v>
      </c>
    </row>
    <row r="132" spans="6:6" hidden="1">
      <c r="F132" s="87">
        <v>17</v>
      </c>
    </row>
    <row r="133" spans="6:6" hidden="1">
      <c r="F133" s="87">
        <v>18</v>
      </c>
    </row>
    <row r="134" spans="6:6" hidden="1">
      <c r="F134" s="87">
        <v>19</v>
      </c>
    </row>
    <row r="135" spans="6:6" hidden="1">
      <c r="F135" s="87">
        <v>20</v>
      </c>
    </row>
    <row r="136" spans="6:6" hidden="1">
      <c r="F136" s="87">
        <v>21</v>
      </c>
    </row>
    <row r="137" spans="6:6" hidden="1">
      <c r="F137" s="87">
        <v>22</v>
      </c>
    </row>
    <row r="138" spans="6:6" hidden="1">
      <c r="F138" s="87">
        <v>23</v>
      </c>
    </row>
    <row r="139" spans="6:6" hidden="1">
      <c r="F139" s="87">
        <v>24</v>
      </c>
    </row>
    <row r="140" spans="6:6" hidden="1">
      <c r="F140" s="87">
        <v>25</v>
      </c>
    </row>
    <row r="141" spans="6:6" hidden="1">
      <c r="F141" s="87">
        <v>26</v>
      </c>
    </row>
    <row r="142" spans="6:6" hidden="1">
      <c r="F142" s="87">
        <v>27</v>
      </c>
    </row>
    <row r="143" spans="6:6" hidden="1">
      <c r="F143" s="87">
        <v>28</v>
      </c>
    </row>
    <row r="144" spans="6:6" hidden="1">
      <c r="F144" s="87">
        <v>29</v>
      </c>
    </row>
    <row r="145" spans="6:6" hidden="1">
      <c r="F145" s="87">
        <v>30</v>
      </c>
    </row>
    <row r="146" spans="6:6">
      <c r="F146" s="87"/>
    </row>
  </sheetData>
  <mergeCells count="26">
    <mergeCell ref="T2:T3"/>
    <mergeCell ref="D25:E25"/>
    <mergeCell ref="D27:E27"/>
    <mergeCell ref="D28:E28"/>
    <mergeCell ref="C5:D5"/>
    <mergeCell ref="D22:E22"/>
    <mergeCell ref="C6:D6"/>
    <mergeCell ref="C7:D7"/>
    <mergeCell ref="C8:D8"/>
    <mergeCell ref="C9:D9"/>
    <mergeCell ref="C10:D10"/>
    <mergeCell ref="C11:D11"/>
    <mergeCell ref="C12:D12"/>
    <mergeCell ref="C13:D13"/>
    <mergeCell ref="C69:D69"/>
    <mergeCell ref="D24:E24"/>
    <mergeCell ref="G66:I66"/>
    <mergeCell ref="G67:I67"/>
    <mergeCell ref="C16:D16"/>
    <mergeCell ref="C17:D17"/>
    <mergeCell ref="C18:D18"/>
    <mergeCell ref="C19:D19"/>
    <mergeCell ref="C20:D20"/>
    <mergeCell ref="C21:D21"/>
    <mergeCell ref="C66:E66"/>
    <mergeCell ref="C67:E67"/>
  </mergeCells>
  <dataValidations count="5">
    <dataValidation type="list" allowBlank="1" showInputMessage="1" showErrorMessage="1" sqref="C102:C105 D52 D47 D42" xr:uid="{FEF9DA2D-5C82-4F0B-8EC4-6EBB35AEC3F2}">
      <formula1>$C$102:$C$105</formula1>
    </dataValidation>
    <dataValidation type="list" allowBlank="1" showInputMessage="1" showErrorMessage="1" sqref="D43 D48" xr:uid="{160D39B4-C3EF-4E64-A08E-5AE10E447575}">
      <formula1>$D$102:$D$104</formula1>
    </dataValidation>
    <dataValidation showInputMessage="1" showErrorMessage="1" sqref="D53 D56" xr:uid="{3F22BD2F-3DFD-466D-9B20-4D707A97497A}"/>
    <dataValidation type="list" allowBlank="1" showInputMessage="1" showErrorMessage="1" sqref="F46 F41 F55 F51" xr:uid="{D30F449F-600F-4979-B1A2-40E700897549}">
      <formula1>$F$101:$F$102</formula1>
    </dataValidation>
    <dataValidation type="list" allowBlank="1" showInputMessage="1" showErrorMessage="1" sqref="F5" xr:uid="{851C5404-8F44-4517-95CC-60AF36B28BAB}">
      <formula1>$F$116:$F$145</formula1>
    </dataValidation>
  </dataValidations>
  <pageMargins left="0.7" right="0.7" top="0.75" bottom="0.75" header="0.3" footer="0.3"/>
  <pageSetup paperSize="9" scale="68" orientation="portrait" r:id="rId1"/>
  <colBreaks count="1" manualBreakCount="1">
    <brk id="10" min="1" max="87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SMC_Calculation (40%-T1)</vt:lpstr>
      <vt:lpstr>SMC_Calculation (40%-O)</vt:lpstr>
      <vt:lpstr>SMC_Calculation (32.5%)</vt:lpstr>
      <vt:lpstr>'SMC_Calculation (32.5%)'!Print_Area</vt:lpstr>
      <vt:lpstr>'SMC_Calculation (40%-O)'!Print_Area</vt:lpstr>
      <vt:lpstr>'SMC_Calculation (40%-T1)'!Print_Area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Juhan Kim</cp:lastModifiedBy>
  <cp:lastPrinted>2026-04-28T04:55:02Z</cp:lastPrinted>
  <dcterms:created xsi:type="dcterms:W3CDTF">2026-04-28T05:09:37Z</dcterms:created>
  <dcterms:modified xsi:type="dcterms:W3CDTF">2026-09-29T10:39:43Z</dcterms:modified>
</cp:coreProperties>
</file>