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ee102/Library/CloudStorage/Dropbox/FI520_2023_Kyle/QFRepository/"/>
    </mc:Choice>
  </mc:AlternateContent>
  <xr:revisionPtr revIDLastSave="0" documentId="13_ncr:1_{66B88517-C6A1-7F45-9CE0-C24767C43FE0}" xr6:coauthVersionLast="47" xr6:coauthVersionMax="47" xr10:uidLastSave="{00000000-0000-0000-0000-000000000000}"/>
  <bookViews>
    <workbookView xWindow="0" yWindow="780" windowWidth="29040" windowHeight="17520" xr2:uid="{2560C3F0-0497-7A4A-B1D2-4D60648AF127}"/>
  </bookViews>
  <sheets>
    <sheet name="Swap_LSC_template" sheetId="7" r:id="rId1"/>
    <sheet name="answer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8" l="1"/>
  <c r="G65" i="8"/>
  <c r="H65" i="8" s="1"/>
  <c r="I65" i="8" s="1"/>
  <c r="G64" i="8"/>
  <c r="G63" i="8"/>
  <c r="H62" i="8"/>
  <c r="G62" i="8"/>
  <c r="I62" i="8" s="1"/>
  <c r="G61" i="8"/>
  <c r="G60" i="8"/>
  <c r="G59" i="8"/>
  <c r="G58" i="8"/>
  <c r="G57" i="8"/>
  <c r="I56" i="8"/>
  <c r="E72" i="8" s="1"/>
  <c r="G72" i="8" s="1"/>
  <c r="H56" i="8"/>
  <c r="G56" i="8"/>
  <c r="J55" i="8"/>
  <c r="F71" i="8" s="1"/>
  <c r="G55" i="8"/>
  <c r="E54" i="8"/>
  <c r="G54" i="8" s="1"/>
  <c r="E53" i="8"/>
  <c r="G53" i="8" s="1"/>
  <c r="E52" i="8"/>
  <c r="G52" i="8" s="1"/>
  <c r="G42" i="8"/>
  <c r="H42" i="8" s="1"/>
  <c r="G41" i="8"/>
  <c r="H41" i="8" s="1"/>
  <c r="H40" i="8"/>
  <c r="G40" i="8"/>
  <c r="G39" i="8"/>
  <c r="H39" i="8" s="1"/>
  <c r="G38" i="8"/>
  <c r="H38" i="8" s="1"/>
  <c r="G37" i="8"/>
  <c r="H37" i="8" s="1"/>
  <c r="H36" i="8"/>
  <c r="G36" i="8"/>
  <c r="G35" i="8"/>
  <c r="H35" i="8" s="1"/>
  <c r="G34" i="8"/>
  <c r="H34" i="8" s="1"/>
  <c r="E34" i="8"/>
  <c r="H33" i="8"/>
  <c r="G33" i="8"/>
  <c r="E33" i="8"/>
  <c r="G32" i="8"/>
  <c r="H32" i="8" s="1"/>
  <c r="E32" i="8"/>
  <c r="D10" i="8"/>
  <c r="D9" i="8"/>
  <c r="F8" i="8"/>
  <c r="L8" i="8" s="1"/>
  <c r="D8" i="8"/>
  <c r="C8" i="8"/>
  <c r="C9" i="8" s="1"/>
  <c r="C10" i="8" s="1"/>
  <c r="L7" i="8"/>
  <c r="J7" i="8"/>
  <c r="G7" i="8"/>
  <c r="M7" i="8" s="1"/>
  <c r="O7" i="8" s="1"/>
  <c r="C7" i="8"/>
  <c r="F8" i="7"/>
  <c r="F9" i="7" s="1"/>
  <c r="F10" i="7" s="1"/>
  <c r="G66" i="7"/>
  <c r="H66" i="7" s="1"/>
  <c r="G65" i="7"/>
  <c r="G64" i="7"/>
  <c r="G63" i="7"/>
  <c r="H63" i="7" s="1"/>
  <c r="G62" i="7"/>
  <c r="G61" i="7"/>
  <c r="G60" i="7"/>
  <c r="G59" i="7"/>
  <c r="G58" i="7"/>
  <c r="G57" i="7"/>
  <c r="G56" i="7"/>
  <c r="H56" i="7" s="1"/>
  <c r="G55" i="7"/>
  <c r="E54" i="7"/>
  <c r="G54" i="7" s="1"/>
  <c r="E53" i="7"/>
  <c r="G53" i="7" s="1"/>
  <c r="E52" i="7"/>
  <c r="G52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E34" i="7"/>
  <c r="G34" i="7" s="1"/>
  <c r="H34" i="7" s="1"/>
  <c r="E33" i="7"/>
  <c r="G33" i="7" s="1"/>
  <c r="H33" i="7" s="1"/>
  <c r="E32" i="7"/>
  <c r="G32" i="7" s="1"/>
  <c r="H32" i="7" s="1"/>
  <c r="D10" i="7"/>
  <c r="D9" i="7"/>
  <c r="D8" i="7"/>
  <c r="L7" i="7"/>
  <c r="C7" i="7"/>
  <c r="C8" i="7" s="1"/>
  <c r="C9" i="7" s="1"/>
  <c r="C10" i="7" s="1"/>
  <c r="L71" i="8" l="1"/>
  <c r="H52" i="8"/>
  <c r="I52" i="8" s="1"/>
  <c r="K62" i="8"/>
  <c r="P7" i="8"/>
  <c r="H53" i="8"/>
  <c r="I53" i="8" s="1"/>
  <c r="I58" i="8"/>
  <c r="I63" i="8"/>
  <c r="H54" i="8"/>
  <c r="I54" i="8" s="1"/>
  <c r="K7" i="8"/>
  <c r="H55" i="8"/>
  <c r="I55" i="8" s="1"/>
  <c r="H59" i="8"/>
  <c r="I59" i="8" s="1"/>
  <c r="H64" i="8"/>
  <c r="I64" i="8" s="1"/>
  <c r="H66" i="8"/>
  <c r="I66" i="8" s="1"/>
  <c r="K56" i="8"/>
  <c r="H58" i="8"/>
  <c r="H61" i="8"/>
  <c r="I61" i="8" s="1"/>
  <c r="H63" i="8"/>
  <c r="N7" i="8"/>
  <c r="F9" i="8"/>
  <c r="H57" i="8"/>
  <c r="I57" i="8" s="1"/>
  <c r="H60" i="8"/>
  <c r="I60" i="8" s="1"/>
  <c r="H54" i="7"/>
  <c r="H52" i="7"/>
  <c r="H53" i="7"/>
  <c r="J7" i="7"/>
  <c r="M7" i="7"/>
  <c r="O7" i="7" s="1"/>
  <c r="P7" i="7" s="1"/>
  <c r="K7" i="7"/>
  <c r="N7" i="7"/>
  <c r="L10" i="7"/>
  <c r="L9" i="7"/>
  <c r="H64" i="7"/>
  <c r="H55" i="7"/>
  <c r="L8" i="7"/>
  <c r="H61" i="7"/>
  <c r="H57" i="7"/>
  <c r="H58" i="7"/>
  <c r="H59" i="7"/>
  <c r="H65" i="7"/>
  <c r="H62" i="7"/>
  <c r="H60" i="7"/>
  <c r="K61" i="8" l="1"/>
  <c r="J61" i="8"/>
  <c r="J62" i="8"/>
  <c r="J64" i="8"/>
  <c r="K64" i="8"/>
  <c r="K60" i="8"/>
  <c r="J60" i="8"/>
  <c r="J57" i="8"/>
  <c r="E73" i="8"/>
  <c r="G73" i="8" s="1"/>
  <c r="K57" i="8"/>
  <c r="K59" i="8"/>
  <c r="J59" i="8"/>
  <c r="E71" i="8"/>
  <c r="G71" i="8" s="1"/>
  <c r="K55" i="8"/>
  <c r="L55" i="8" s="1"/>
  <c r="J56" i="8"/>
  <c r="F10" i="8"/>
  <c r="L10" i="8" s="1"/>
  <c r="L9" i="8"/>
  <c r="K58" i="8"/>
  <c r="J58" i="8"/>
  <c r="E74" i="8"/>
  <c r="G74" i="8" s="1"/>
  <c r="J63" i="8"/>
  <c r="K63" i="8"/>
  <c r="G75" i="7"/>
  <c r="M8" i="7"/>
  <c r="K8" i="7"/>
  <c r="J8" i="7"/>
  <c r="J9" i="7" s="1"/>
  <c r="F72" i="8" l="1"/>
  <c r="G8" i="8"/>
  <c r="G9" i="8"/>
  <c r="F73" i="8"/>
  <c r="F74" i="8"/>
  <c r="G10" i="8"/>
  <c r="H74" i="8"/>
  <c r="L58" i="8"/>
  <c r="G75" i="8"/>
  <c r="H72" i="8" s="1"/>
  <c r="L56" i="8"/>
  <c r="L57" i="8"/>
  <c r="J10" i="7"/>
  <c r="O8" i="7"/>
  <c r="P8" i="7" s="1"/>
  <c r="N8" i="7"/>
  <c r="M10" i="7"/>
  <c r="M9" i="7"/>
  <c r="K9" i="7"/>
  <c r="K10" i="7" s="1"/>
  <c r="H73" i="8" l="1"/>
  <c r="M10" i="8"/>
  <c r="L74" i="8"/>
  <c r="I74" i="8"/>
  <c r="H71" i="8"/>
  <c r="K9" i="8"/>
  <c r="K10" i="8" s="1"/>
  <c r="M9" i="8"/>
  <c r="M8" i="8"/>
  <c r="K8" i="8"/>
  <c r="J8" i="8"/>
  <c r="J9" i="8" s="1"/>
  <c r="J10" i="8" s="1"/>
  <c r="L73" i="8"/>
  <c r="I73" i="8"/>
  <c r="L72" i="8"/>
  <c r="I72" i="8"/>
  <c r="O9" i="7"/>
  <c r="P9" i="7" s="1"/>
  <c r="N9" i="7"/>
  <c r="H75" i="7"/>
  <c r="O10" i="7"/>
  <c r="P10" i="7" s="1"/>
  <c r="N10" i="7"/>
  <c r="N11" i="7"/>
  <c r="O9" i="8" l="1"/>
  <c r="P9" i="8" s="1"/>
  <c r="N9" i="8"/>
  <c r="H75" i="8"/>
  <c r="I71" i="8"/>
  <c r="I76" i="8" s="1"/>
  <c r="O10" i="8"/>
  <c r="P10" i="8" s="1"/>
  <c r="N10" i="8"/>
  <c r="O8" i="8"/>
  <c r="P8" i="8" s="1"/>
  <c r="P11" i="8" s="1"/>
  <c r="N12" i="8" s="1"/>
  <c r="N8" i="8"/>
  <c r="N11" i="8" s="1"/>
  <c r="P11" i="7"/>
  <c r="N12" i="7" s="1"/>
  <c r="K74" i="8" l="1"/>
  <c r="M74" i="8" s="1"/>
  <c r="K73" i="8"/>
  <c r="M73" i="8" s="1"/>
  <c r="K72" i="8"/>
  <c r="M72" i="8" s="1"/>
  <c r="K71" i="8"/>
  <c r="M71" i="8" s="1"/>
  <c r="M76" i="8" s="1"/>
</calcChain>
</file>

<file path=xl/sharedStrings.xml><?xml version="1.0" encoding="utf-8"?>
<sst xmlns="http://schemas.openxmlformats.org/spreadsheetml/2006/main" count="220" uniqueCount="67">
  <si>
    <t>Forward rate</t>
  </si>
  <si>
    <t>30/360</t>
  </si>
  <si>
    <t>Act/360</t>
  </si>
  <si>
    <t>Simple</t>
  </si>
  <si>
    <t>Start</t>
  </si>
  <si>
    <t>Date</t>
  </si>
  <si>
    <t>End</t>
  </si>
  <si>
    <t>Fixed</t>
  </si>
  <si>
    <t>Rate</t>
  </si>
  <si>
    <t>Forward</t>
  </si>
  <si>
    <t>Days</t>
  </si>
  <si>
    <t>Discount</t>
  </si>
  <si>
    <t>Factor</t>
  </si>
  <si>
    <t>Cashflow</t>
  </si>
  <si>
    <t>Float</t>
  </si>
  <si>
    <t>Evaluation</t>
  </si>
  <si>
    <t>DF</t>
  </si>
  <si>
    <t>Current</t>
  </si>
  <si>
    <t>Value</t>
  </si>
  <si>
    <t>MV of swap</t>
  </si>
  <si>
    <t>Floating</t>
  </si>
  <si>
    <t>+1 bp</t>
  </si>
  <si>
    <t>Value +1 bp</t>
  </si>
  <si>
    <t>Value of an 1bp</t>
  </si>
  <si>
    <t>Table 6.3.3.</t>
  </si>
  <si>
    <t>Panel A. Annual, upward sloping forward rates</t>
  </si>
  <si>
    <t>Treasury constant maturities (CMT rates)</t>
  </si>
  <si>
    <t>3-month</t>
  </si>
  <si>
    <t>6-month</t>
  </si>
  <si>
    <t>LSC factor</t>
  </si>
  <si>
    <t>CMT rate</t>
  </si>
  <si>
    <t>Year</t>
  </si>
  <si>
    <t>X1</t>
  </si>
  <si>
    <t>X2</t>
  </si>
  <si>
    <t>X3</t>
  </si>
  <si>
    <t>LSC rate</t>
  </si>
  <si>
    <t>Coefficients</t>
  </si>
  <si>
    <t>1-month</t>
  </si>
  <si>
    <t>1-year</t>
  </si>
  <si>
    <t>2-year</t>
  </si>
  <si>
    <t>3-year</t>
  </si>
  <si>
    <t>7-year</t>
  </si>
  <si>
    <t>10-year</t>
  </si>
  <si>
    <t>20-year</t>
  </si>
  <si>
    <t>30-year</t>
  </si>
  <si>
    <t>5-year</t>
  </si>
  <si>
    <t>4-year</t>
  </si>
  <si>
    <t>6-year</t>
  </si>
  <si>
    <t>LSC implied rates</t>
  </si>
  <si>
    <t>Regression coefficients</t>
  </si>
  <si>
    <t>8-year</t>
  </si>
  <si>
    <t>9-year</t>
  </si>
  <si>
    <t>SWAP Valuation</t>
  </si>
  <si>
    <t>LSC Estimation of Discount Rates</t>
  </si>
  <si>
    <r>
      <t>Scalar (</t>
    </r>
    <r>
      <rPr>
        <i/>
        <sz val="10"/>
        <color theme="1"/>
        <rFont val="Times New Roman"/>
        <family val="1"/>
      </rPr>
      <t>s</t>
    </r>
    <r>
      <rPr>
        <sz val="10"/>
        <color theme="1"/>
        <rFont val="Times New Roman"/>
        <family val="1"/>
      </rPr>
      <t>)</t>
    </r>
  </si>
  <si>
    <t>From Discount Curve</t>
  </si>
  <si>
    <t>Discount F.</t>
  </si>
  <si>
    <t>weight</t>
  </si>
  <si>
    <t>Notional Amount</t>
  </si>
  <si>
    <t>Fixed Rate</t>
  </si>
  <si>
    <t>Weight (w)</t>
  </si>
  <si>
    <t>w*Forward rate</t>
  </si>
  <si>
    <t>Year of payment</t>
  </si>
  <si>
    <t>Fixed CF</t>
  </si>
  <si>
    <t>Float CF</t>
  </si>
  <si>
    <t>Value of Swap</t>
  </si>
  <si>
    <t>PV(Difference)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</si>
</sst>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0.0"/>
    <numFmt numFmtId="165" formatCode="0.000%"/>
    <numFmt numFmtId="166" formatCode="0.0000"/>
    <numFmt numFmtId="167" formatCode="0.000"/>
    <numFmt numFmtId="168" formatCode="_(&quot;$&quot;* #,##0.0_);_(&quot;$&quot;* \(#,##0.0\);_(&quot;$&quot;* &quot;-&quot;??_);_(@_)"/>
    <numFmt numFmtId="169" formatCode="_(&quot;$&quot;* #,##0.000_);_(&quot;$&quot;* \(#,##0.000\);_(&quot;$&quot;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rgb="FF333333"/>
      <name val="Arial"/>
      <family val="2"/>
    </font>
    <font>
      <sz val="10"/>
      <color rgb="FF333333"/>
      <name val="Times New Roman"/>
      <family val="1"/>
    </font>
    <font>
      <sz val="10"/>
      <color theme="1"/>
      <name val="Calibri"/>
      <family val="2"/>
      <scheme val="minor"/>
    </font>
    <font>
      <u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rgb="FF0070C0"/>
      <name val="Times New Roman"/>
      <family val="1"/>
    </font>
    <font>
      <i/>
      <sz val="10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10" fontId="2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2" xfId="0" quotePrefix="1" applyFont="1" applyBorder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4" fontId="2" fillId="0" borderId="2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/>
    </xf>
    <xf numFmtId="166" fontId="2" fillId="0" borderId="2" xfId="0" applyNumberFormat="1" applyFont="1" applyBorder="1" applyAlignment="1">
      <alignment horizontal="right" vertical="center"/>
    </xf>
    <xf numFmtId="1" fontId="2" fillId="0" borderId="2" xfId="0" applyNumberFormat="1" applyFont="1" applyBorder="1" applyAlignment="1">
      <alignment horizontal="right" vertical="center"/>
    </xf>
    <xf numFmtId="0" fontId="6" fillId="0" borderId="0" xfId="0" applyFont="1"/>
    <xf numFmtId="0" fontId="2" fillId="0" borderId="1" xfId="0" applyFont="1" applyBorder="1"/>
    <xf numFmtId="0" fontId="7" fillId="0" borderId="1" xfId="0" applyFont="1" applyBorder="1"/>
    <xf numFmtId="0" fontId="7" fillId="0" borderId="0" xfId="0" applyFont="1"/>
    <xf numFmtId="0" fontId="2" fillId="0" borderId="2" xfId="0" applyFont="1" applyBorder="1"/>
    <xf numFmtId="0" fontId="7" fillId="0" borderId="2" xfId="0" applyFont="1" applyBorder="1"/>
    <xf numFmtId="10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0" fontId="2" fillId="0" borderId="1" xfId="0" applyNumberFormat="1" applyFont="1" applyBorder="1" applyAlignment="1">
      <alignment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0" fontId="7" fillId="0" borderId="0" xfId="1" applyNumberFormat="1" applyFont="1" applyBorder="1"/>
    <xf numFmtId="10" fontId="7" fillId="0" borderId="2" xfId="1" applyNumberFormat="1" applyFont="1" applyBorder="1"/>
    <xf numFmtId="0" fontId="2" fillId="0" borderId="2" xfId="0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10" fontId="12" fillId="0" borderId="2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10" fontId="12" fillId="0" borderId="0" xfId="0" applyNumberFormat="1" applyFont="1" applyAlignment="1">
      <alignment horizontal="center" vertical="center"/>
    </xf>
    <xf numFmtId="168" fontId="2" fillId="0" borderId="0" xfId="2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8" fontId="2" fillId="0" borderId="2" xfId="2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9" fontId="2" fillId="0" borderId="0" xfId="0" applyNumberFormat="1" applyFont="1" applyAlignment="1">
      <alignment horizontal="left" vertical="center"/>
    </xf>
    <xf numFmtId="44" fontId="2" fillId="0" borderId="0" xfId="0" applyNumberFormat="1" applyFont="1" applyAlignment="1">
      <alignment horizontal="left" vertical="center"/>
    </xf>
    <xf numFmtId="169" fontId="2" fillId="0" borderId="2" xfId="0" applyNumberFormat="1" applyFont="1" applyBorder="1" applyAlignment="1">
      <alignment horizontal="left" vertical="center"/>
    </xf>
    <xf numFmtId="44" fontId="2" fillId="0" borderId="2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4" fontId="1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right" vertical="center"/>
    </xf>
    <xf numFmtId="0" fontId="15" fillId="0" borderId="3" xfId="0" applyFont="1" applyBorder="1" applyAlignment="1">
      <alignment horizontal="center"/>
    </xf>
    <xf numFmtId="0" fontId="14" fillId="0" borderId="0" xfId="0" applyFont="1"/>
    <xf numFmtId="167" fontId="14" fillId="0" borderId="0" xfId="0" applyNumberFormat="1" applyFont="1"/>
    <xf numFmtId="0" fontId="14" fillId="0" borderId="5" xfId="0" applyFont="1" applyBorder="1"/>
    <xf numFmtId="167" fontId="14" fillId="0" borderId="5" xfId="0" applyNumberFormat="1" applyFont="1" applyBorder="1"/>
    <xf numFmtId="2" fontId="7" fillId="0" borderId="0" xfId="0" applyNumberFormat="1" applyFont="1"/>
    <xf numFmtId="0" fontId="2" fillId="0" borderId="7" xfId="0" applyFont="1" applyBorder="1"/>
    <xf numFmtId="10" fontId="7" fillId="0" borderId="6" xfId="1" applyNumberFormat="1" applyFont="1" applyBorder="1"/>
    <xf numFmtId="0" fontId="2" fillId="0" borderId="6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/>
    </xf>
    <xf numFmtId="10" fontId="2" fillId="0" borderId="6" xfId="1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67" fontId="2" fillId="0" borderId="8" xfId="0" applyNumberFormat="1" applyFont="1" applyBorder="1" applyAlignment="1">
      <alignment horizontal="left" vertical="center"/>
    </xf>
    <xf numFmtId="0" fontId="2" fillId="0" borderId="9" xfId="0" applyFont="1" applyBorder="1"/>
    <xf numFmtId="167" fontId="2" fillId="0" borderId="10" xfId="0" applyNumberFormat="1" applyFont="1" applyBorder="1" applyAlignment="1">
      <alignment horizontal="left" vertical="center"/>
    </xf>
    <xf numFmtId="0" fontId="2" fillId="0" borderId="11" xfId="0" applyFont="1" applyBorder="1"/>
    <xf numFmtId="10" fontId="7" fillId="0" borderId="5" xfId="1" applyNumberFormat="1" applyFont="1" applyBorder="1"/>
    <xf numFmtId="0" fontId="2" fillId="0" borderId="5" xfId="0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10" fontId="2" fillId="0" borderId="5" xfId="1" applyNumberFormat="1" applyFont="1" applyBorder="1" applyAlignment="1">
      <alignment horizontal="center" vertical="center"/>
    </xf>
    <xf numFmtId="167" fontId="2" fillId="0" borderId="12" xfId="0" applyNumberFormat="1" applyFont="1" applyBorder="1" applyAlignment="1">
      <alignment horizontal="left" vertical="center"/>
    </xf>
    <xf numFmtId="10" fontId="12" fillId="0" borderId="1" xfId="0" applyNumberFormat="1" applyFont="1" applyBorder="1" applyAlignment="1">
      <alignment horizontal="right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244896</xdr:colOff>
      <xdr:row>21</xdr:row>
      <xdr:rowOff>143105</xdr:rowOff>
    </xdr:from>
    <xdr:to>
      <xdr:col>6</xdr:col>
      <xdr:colOff>665372</xdr:colOff>
      <xdr:row>27</xdr:row>
      <xdr:rowOff>33198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C70BB-B0C2-47F8-96AF-6837A8E6D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6796" y="3553055"/>
          <a:ext cx="1868276" cy="861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244896</xdr:colOff>
      <xdr:row>21</xdr:row>
      <xdr:rowOff>143105</xdr:rowOff>
    </xdr:from>
    <xdr:to>
      <xdr:col>8</xdr:col>
      <xdr:colOff>558122</xdr:colOff>
      <xdr:row>29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673756-6D0A-FA45-820A-9F2FFA435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6796" y="3610205"/>
          <a:ext cx="3208826" cy="1330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E7BD-C882-4E32-B3A4-FE9E9B36543E}">
  <dimension ref="A2:T82"/>
  <sheetViews>
    <sheetView tabSelected="1" topLeftCell="A47" zoomScale="130" zoomScaleNormal="130" workbookViewId="0">
      <selection activeCell="I77" sqref="I77"/>
    </sheetView>
  </sheetViews>
  <sheetFormatPr baseColWidth="10" defaultColWidth="9.5" defaultRowHeight="13" x14ac:dyDescent="0.2"/>
  <cols>
    <col min="1" max="1" width="6.6640625" style="2" customWidth="1"/>
    <col min="2" max="2" width="8.5" style="9" customWidth="1"/>
    <col min="3" max="3" width="19.6640625" style="9" customWidth="1"/>
    <col min="4" max="4" width="14.6640625" style="2" bestFit="1" customWidth="1"/>
    <col min="5" max="8" width="9.5" style="2"/>
    <col min="9" max="9" width="11.33203125" style="2" customWidth="1"/>
    <col min="10" max="10" width="9.5" style="2"/>
    <col min="11" max="11" width="9.5" style="9"/>
    <col min="12" max="12" width="8.1640625" style="9" customWidth="1"/>
    <col min="13" max="13" width="12.6640625" style="9" customWidth="1"/>
    <col min="14" max="14" width="12.83203125" style="9" customWidth="1"/>
    <col min="15" max="20" width="9.5" style="9"/>
    <col min="21" max="16384" width="9.5" style="2"/>
  </cols>
  <sheetData>
    <row r="2" spans="1:17" x14ac:dyDescent="0.2">
      <c r="A2" s="8" t="s">
        <v>52</v>
      </c>
    </row>
    <row r="3" spans="1:17" x14ac:dyDescent="0.2">
      <c r="A3" s="8"/>
      <c r="B3" s="10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7" x14ac:dyDescent="0.2">
      <c r="A4" s="8"/>
      <c r="B4" s="12" t="s">
        <v>25</v>
      </c>
      <c r="C4" s="11"/>
      <c r="D4" s="11"/>
      <c r="E4" s="11"/>
      <c r="F4" s="11"/>
      <c r="G4" s="9" t="s">
        <v>55</v>
      </c>
      <c r="H4" s="11"/>
      <c r="I4" s="11"/>
      <c r="J4" s="11"/>
      <c r="K4" s="11"/>
      <c r="L4" s="11" t="s">
        <v>1</v>
      </c>
      <c r="M4" s="11" t="s">
        <v>2</v>
      </c>
      <c r="N4" s="11"/>
      <c r="O4" s="11"/>
      <c r="P4" s="11"/>
    </row>
    <row r="5" spans="1:17" x14ac:dyDescent="0.2">
      <c r="A5" s="8"/>
      <c r="B5" s="13"/>
      <c r="C5" s="14" t="s">
        <v>15</v>
      </c>
      <c r="D5" s="14" t="s">
        <v>4</v>
      </c>
      <c r="E5" s="14" t="s">
        <v>6</v>
      </c>
      <c r="F5" s="50" t="s">
        <v>7</v>
      </c>
      <c r="G5" s="46" t="s">
        <v>9</v>
      </c>
      <c r="H5" s="14" t="s">
        <v>1</v>
      </c>
      <c r="I5" s="14" t="s">
        <v>2</v>
      </c>
      <c r="J5" s="14" t="s">
        <v>11</v>
      </c>
      <c r="K5" s="14" t="s">
        <v>3</v>
      </c>
      <c r="L5" s="14" t="s">
        <v>7</v>
      </c>
      <c r="M5" s="14" t="s">
        <v>14</v>
      </c>
      <c r="N5" s="14" t="s">
        <v>17</v>
      </c>
      <c r="O5" s="14" t="s">
        <v>20</v>
      </c>
      <c r="P5" s="14" t="s">
        <v>17</v>
      </c>
    </row>
    <row r="6" spans="1:17" x14ac:dyDescent="0.2">
      <c r="A6" s="8"/>
      <c r="B6" s="13"/>
      <c r="C6" s="15" t="s">
        <v>5</v>
      </c>
      <c r="D6" s="15" t="s">
        <v>5</v>
      </c>
      <c r="E6" s="15" t="s">
        <v>5</v>
      </c>
      <c r="F6" s="51" t="s">
        <v>8</v>
      </c>
      <c r="G6" s="47" t="s">
        <v>8</v>
      </c>
      <c r="H6" s="15" t="s">
        <v>10</v>
      </c>
      <c r="I6" s="15" t="s">
        <v>10</v>
      </c>
      <c r="J6" s="15" t="s">
        <v>12</v>
      </c>
      <c r="K6" s="15" t="s">
        <v>16</v>
      </c>
      <c r="L6" s="15" t="s">
        <v>13</v>
      </c>
      <c r="M6" s="15" t="s">
        <v>13</v>
      </c>
      <c r="N6" s="15" t="s">
        <v>18</v>
      </c>
      <c r="O6" s="16" t="s">
        <v>21</v>
      </c>
      <c r="P6" s="15" t="s">
        <v>22</v>
      </c>
    </row>
    <row r="7" spans="1:17" x14ac:dyDescent="0.2">
      <c r="A7" s="8"/>
      <c r="B7" s="13"/>
      <c r="C7" s="17">
        <f>D7</f>
        <v>44001</v>
      </c>
      <c r="D7" s="17">
        <v>44001</v>
      </c>
      <c r="E7" s="17">
        <v>44366</v>
      </c>
      <c r="F7" s="18">
        <v>5.3582999999999999E-2</v>
      </c>
      <c r="G7" s="48">
        <v>0.05</v>
      </c>
      <c r="H7" s="11">
        <v>90</v>
      </c>
      <c r="I7" s="11">
        <v>92</v>
      </c>
      <c r="J7" s="19">
        <f>(1+G7)^(-1)</f>
        <v>0.95238095238095233</v>
      </c>
      <c r="K7" s="19">
        <f>(1+G7*I7/360)^-1</f>
        <v>0.98738343390016459</v>
      </c>
      <c r="L7" s="11">
        <f t="shared" ref="L7:M10" si="0">F7*1000000</f>
        <v>53583</v>
      </c>
      <c r="M7" s="20">
        <f>G7*1000000</f>
        <v>50000</v>
      </c>
      <c r="N7" s="21">
        <f>(L7-M7)*J7</f>
        <v>3412.3809523809523</v>
      </c>
      <c r="O7" s="21">
        <f>M7+100</f>
        <v>50100</v>
      </c>
      <c r="P7" s="21">
        <f>(L7-O7)*J7</f>
        <v>3317.1428571428569</v>
      </c>
    </row>
    <row r="8" spans="1:17" x14ac:dyDescent="0.2">
      <c r="A8" s="8"/>
      <c r="B8" s="13"/>
      <c r="C8" s="17">
        <f>C7</f>
        <v>44001</v>
      </c>
      <c r="D8" s="17">
        <f>E7</f>
        <v>44366</v>
      </c>
      <c r="E8" s="17">
        <v>44731</v>
      </c>
      <c r="F8" s="18">
        <f>F7</f>
        <v>5.3582999999999999E-2</v>
      </c>
      <c r="G8" s="48">
        <v>5.2499999999999998E-2</v>
      </c>
      <c r="H8" s="11">
        <v>90</v>
      </c>
      <c r="I8" s="11">
        <v>91</v>
      </c>
      <c r="J8" s="19">
        <f>J7*(1+G8)^(-1)</f>
        <v>0.90487501413867211</v>
      </c>
      <c r="K8" s="19">
        <f>((1+G8*I8/360)^-1)*K7</f>
        <v>0.97445164848177113</v>
      </c>
      <c r="L8" s="11">
        <f t="shared" si="0"/>
        <v>53583</v>
      </c>
      <c r="M8" s="20">
        <f t="shared" si="0"/>
        <v>52500</v>
      </c>
      <c r="N8" s="21">
        <f>(L8-M8)*J8</f>
        <v>979.97964031218191</v>
      </c>
      <c r="O8" s="21">
        <f>M8+100</f>
        <v>52600</v>
      </c>
      <c r="P8" s="21">
        <f>(L8-O8)*J8</f>
        <v>889.49213889831469</v>
      </c>
    </row>
    <row r="9" spans="1:17" x14ac:dyDescent="0.2">
      <c r="B9" s="13"/>
      <c r="C9" s="17">
        <f>C8</f>
        <v>44001</v>
      </c>
      <c r="D9" s="17">
        <f>E8</f>
        <v>44731</v>
      </c>
      <c r="E9" s="17">
        <v>45096</v>
      </c>
      <c r="F9" s="18">
        <f>F8</f>
        <v>5.3582999999999999E-2</v>
      </c>
      <c r="G9" s="48">
        <v>5.5E-2</v>
      </c>
      <c r="H9" s="11">
        <v>90</v>
      </c>
      <c r="I9" s="11">
        <v>90</v>
      </c>
      <c r="J9" s="19">
        <f>J8*(1+G9)^(-1)</f>
        <v>0.85770143520253284</v>
      </c>
      <c r="K9" s="19">
        <f>((1+G9*I9/360)^-1)*K8*K7</f>
        <v>0.94910719097174578</v>
      </c>
      <c r="L9" s="11">
        <f t="shared" si="0"/>
        <v>53583</v>
      </c>
      <c r="M9" s="20">
        <f t="shared" si="0"/>
        <v>55000</v>
      </c>
      <c r="N9" s="21">
        <f>(L9-M9)*J9</f>
        <v>-1215.362933681989</v>
      </c>
      <c r="O9" s="21">
        <f>M9+100</f>
        <v>55100</v>
      </c>
      <c r="P9" s="21">
        <f>(L9-O9)*J9</f>
        <v>-1301.1330772022422</v>
      </c>
    </row>
    <row r="10" spans="1:17" x14ac:dyDescent="0.2">
      <c r="B10" s="13"/>
      <c r="C10" s="22">
        <f>C9</f>
        <v>44001</v>
      </c>
      <c r="D10" s="22">
        <f>E9</f>
        <v>45096</v>
      </c>
      <c r="E10" s="22">
        <v>45462</v>
      </c>
      <c r="F10" s="23">
        <f>F9</f>
        <v>5.3582999999999999E-2</v>
      </c>
      <c r="G10" s="49">
        <v>5.7500000000000002E-2</v>
      </c>
      <c r="H10" s="15">
        <v>90</v>
      </c>
      <c r="I10" s="15">
        <v>92</v>
      </c>
      <c r="J10" s="24">
        <f>J9*(1+G10)^(-1)</f>
        <v>0.81106518695274965</v>
      </c>
      <c r="K10" s="24">
        <f>((1+G10*I10/360)^-1)*K9*K8*K7</f>
        <v>0.89996602058724229</v>
      </c>
      <c r="L10" s="15">
        <f t="shared" si="0"/>
        <v>53583</v>
      </c>
      <c r="M10" s="6">
        <f t="shared" si="0"/>
        <v>57500</v>
      </c>
      <c r="N10" s="25">
        <f>(L10-M10)*J10</f>
        <v>-3176.9423372939204</v>
      </c>
      <c r="O10" s="25">
        <f>M10+100</f>
        <v>57600</v>
      </c>
      <c r="P10" s="25">
        <f>(L10-O10)*J10</f>
        <v>-3258.0488559891955</v>
      </c>
    </row>
    <row r="11" spans="1:17" x14ac:dyDescent="0.2">
      <c r="B11" s="13"/>
      <c r="C11" s="11"/>
      <c r="D11" s="11"/>
      <c r="E11" s="11"/>
      <c r="F11" s="11"/>
      <c r="G11" s="18"/>
      <c r="H11" s="11"/>
      <c r="I11" s="11"/>
      <c r="J11" s="11"/>
      <c r="K11" s="11"/>
      <c r="L11" s="11"/>
      <c r="M11" s="60" t="s">
        <v>19</v>
      </c>
      <c r="N11" s="69">
        <f>SUM(N7:N10)</f>
        <v>5.5321717224614986E-2</v>
      </c>
      <c r="O11" s="11"/>
      <c r="P11" s="21">
        <f>SUM(P7:P10)</f>
        <v>-352.54693715026588</v>
      </c>
    </row>
    <row r="12" spans="1:17" x14ac:dyDescent="0.2">
      <c r="B12" s="13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 t="s">
        <v>23</v>
      </c>
      <c r="N12" s="21">
        <f>P11-N11</f>
        <v>-352.60225886749049</v>
      </c>
      <c r="O12" s="11"/>
      <c r="P12" s="11"/>
    </row>
    <row r="13" spans="1:17" x14ac:dyDescent="0.15"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C14" s="1" t="s">
        <v>26</v>
      </c>
      <c r="D14" s="1"/>
    </row>
    <row r="15" spans="1:17" x14ac:dyDescent="0.15">
      <c r="C15" s="27" t="s">
        <v>37</v>
      </c>
      <c r="D15" s="28">
        <v>5.51</v>
      </c>
    </row>
    <row r="16" spans="1:17" x14ac:dyDescent="0.15">
      <c r="C16" s="1" t="s">
        <v>27</v>
      </c>
      <c r="D16" s="29">
        <v>5.47</v>
      </c>
    </row>
    <row r="17" spans="2:20" x14ac:dyDescent="0.15">
      <c r="C17" s="1" t="s">
        <v>28</v>
      </c>
      <c r="D17" s="29">
        <v>5.36</v>
      </c>
    </row>
    <row r="18" spans="2:20" x14ac:dyDescent="0.15">
      <c r="C18" s="1" t="s">
        <v>38</v>
      </c>
      <c r="D18" s="29">
        <v>4.99</v>
      </c>
    </row>
    <row r="19" spans="2:20" x14ac:dyDescent="0.15">
      <c r="C19" s="1" t="s">
        <v>39</v>
      </c>
      <c r="D19" s="29">
        <v>4.59</v>
      </c>
    </row>
    <row r="20" spans="2:20" x14ac:dyDescent="0.15">
      <c r="C20" s="1" t="s">
        <v>40</v>
      </c>
      <c r="D20" s="29">
        <v>4.38</v>
      </c>
    </row>
    <row r="21" spans="2:20" x14ac:dyDescent="0.15">
      <c r="C21" s="9" t="s">
        <v>45</v>
      </c>
      <c r="D21" s="75">
        <v>4.2</v>
      </c>
    </row>
    <row r="22" spans="2:20" x14ac:dyDescent="0.15">
      <c r="C22" s="1" t="s">
        <v>41</v>
      </c>
      <c r="D22" s="29">
        <v>4.21</v>
      </c>
    </row>
    <row r="23" spans="2:20" x14ac:dyDescent="0.15">
      <c r="C23" s="1" t="s">
        <v>42</v>
      </c>
      <c r="D23" s="29">
        <v>4.21</v>
      </c>
    </row>
    <row r="24" spans="2:20" x14ac:dyDescent="0.15">
      <c r="C24" s="1" t="s">
        <v>43</v>
      </c>
      <c r="D24" s="29">
        <v>4.46</v>
      </c>
    </row>
    <row r="25" spans="2:20" x14ac:dyDescent="0.15">
      <c r="C25" s="30" t="s">
        <v>44</v>
      </c>
      <c r="D25" s="31">
        <v>4.3600000000000003</v>
      </c>
    </row>
    <row r="26" spans="2:20" x14ac:dyDescent="0.15">
      <c r="C26" s="1"/>
      <c r="D26" s="32"/>
    </row>
    <row r="28" spans="2:20" ht="14" x14ac:dyDescent="0.2">
      <c r="B28" s="33" t="s">
        <v>53</v>
      </c>
      <c r="K28" s="34"/>
      <c r="L28" s="34"/>
      <c r="M28" s="34"/>
      <c r="N28" s="34"/>
      <c r="O28" s="34"/>
      <c r="P28" s="34"/>
      <c r="Q28" s="34"/>
      <c r="R28" s="34"/>
      <c r="S28" s="34"/>
    </row>
    <row r="29" spans="2:20" x14ac:dyDescent="0.2">
      <c r="B29" s="33"/>
      <c r="C29" s="35" t="s">
        <v>29</v>
      </c>
      <c r="K29" s="2"/>
      <c r="L29" s="2"/>
      <c r="M29" s="2"/>
      <c r="N29" s="2"/>
      <c r="O29" s="2"/>
      <c r="P29" s="2"/>
      <c r="Q29" s="2"/>
      <c r="R29" s="2"/>
      <c r="S29" s="2"/>
    </row>
    <row r="30" spans="2:20" x14ac:dyDescent="0.2">
      <c r="B30" s="33"/>
      <c r="C30" s="11" t="s">
        <v>54</v>
      </c>
      <c r="D30" s="36">
        <v>2</v>
      </c>
      <c r="K30" s="2"/>
      <c r="L30" s="2"/>
      <c r="M30" s="2"/>
      <c r="N30" s="2"/>
      <c r="O30" s="2"/>
      <c r="P30" s="2"/>
      <c r="Q30" s="2"/>
      <c r="R30" s="2"/>
      <c r="S30" s="2"/>
    </row>
    <row r="31" spans="2:20" x14ac:dyDescent="0.2">
      <c r="B31" s="33"/>
      <c r="C31" s="3"/>
      <c r="D31" s="4" t="s">
        <v>30</v>
      </c>
      <c r="E31" s="4" t="s">
        <v>31</v>
      </c>
      <c r="F31" s="4" t="s">
        <v>32</v>
      </c>
      <c r="G31" s="4" t="s">
        <v>33</v>
      </c>
      <c r="H31" s="4" t="s">
        <v>34</v>
      </c>
      <c r="K31" s="2"/>
      <c r="L31" s="2"/>
      <c r="M31" s="2"/>
      <c r="N31" s="2"/>
      <c r="O31" s="2"/>
      <c r="P31" s="2"/>
      <c r="Q31" s="2"/>
      <c r="R31" s="2"/>
      <c r="T31" s="2"/>
    </row>
    <row r="32" spans="2:20" x14ac:dyDescent="0.15">
      <c r="B32" s="33"/>
      <c r="C32" s="27" t="s">
        <v>37</v>
      </c>
      <c r="D32" s="37">
        <v>5.5100000000000003E-2</v>
      </c>
      <c r="E32" s="38">
        <f>1/12</f>
        <v>8.3333333333333329E-2</v>
      </c>
      <c r="F32" s="39">
        <v>1</v>
      </c>
      <c r="G32" s="38">
        <f t="shared" ref="G32:G42" si="1">(D$30/E32)*(1-EXP(-E32/D$30))</f>
        <v>0.97945302938068401</v>
      </c>
      <c r="H32" s="38">
        <f t="shared" ref="H32:H34" si="2">G32-EXP(-E32/D$30)</f>
        <v>2.0263572271545849E-2</v>
      </c>
      <c r="K32" s="2"/>
      <c r="L32" s="2"/>
      <c r="M32" s="2"/>
      <c r="N32" s="2"/>
      <c r="O32" s="2"/>
      <c r="P32" s="2"/>
      <c r="Q32" s="2"/>
      <c r="R32" s="2"/>
      <c r="T32" s="2"/>
    </row>
    <row r="33" spans="2:20" x14ac:dyDescent="0.15">
      <c r="B33" s="33"/>
      <c r="C33" s="1" t="s">
        <v>27</v>
      </c>
      <c r="D33" s="32">
        <v>5.4699999999999999E-2</v>
      </c>
      <c r="E33" s="2">
        <f>3/12</f>
        <v>0.25</v>
      </c>
      <c r="F33" s="2">
        <v>1</v>
      </c>
      <c r="G33" s="40">
        <f t="shared" si="1"/>
        <v>0.94002477932323636</v>
      </c>
      <c r="H33" s="40">
        <f t="shared" si="2"/>
        <v>5.7527876738640904E-2</v>
      </c>
      <c r="K33" s="2"/>
      <c r="N33" s="2"/>
      <c r="O33" s="2"/>
      <c r="P33" s="2"/>
      <c r="Q33" s="2"/>
      <c r="R33" s="2"/>
      <c r="S33" s="2"/>
      <c r="T33" s="2"/>
    </row>
    <row r="34" spans="2:20" x14ac:dyDescent="0.15">
      <c r="B34" s="33"/>
      <c r="C34" s="1" t="s">
        <v>28</v>
      </c>
      <c r="D34" s="32">
        <v>5.3600000000000002E-2</v>
      </c>
      <c r="E34" s="2">
        <f>6/12</f>
        <v>0.5</v>
      </c>
      <c r="F34" s="2">
        <v>1</v>
      </c>
      <c r="G34" s="40">
        <f t="shared" si="1"/>
        <v>0.88479686771438049</v>
      </c>
      <c r="H34" s="40">
        <f t="shared" si="2"/>
        <v>0.10599608464297561</v>
      </c>
      <c r="K34" s="2"/>
      <c r="N34" s="2"/>
      <c r="O34" s="2"/>
      <c r="P34" s="2"/>
      <c r="Q34" s="2"/>
      <c r="R34" s="2"/>
      <c r="S34" s="2"/>
      <c r="T34" s="2"/>
    </row>
    <row r="35" spans="2:20" x14ac:dyDescent="0.15">
      <c r="B35" s="33"/>
      <c r="C35" s="1" t="s">
        <v>38</v>
      </c>
      <c r="D35" s="41">
        <v>4.99E-2</v>
      </c>
      <c r="E35" s="2">
        <v>1</v>
      </c>
      <c r="F35" s="2">
        <v>1</v>
      </c>
      <c r="G35" s="40">
        <f t="shared" si="1"/>
        <v>0.78693868057473315</v>
      </c>
      <c r="H35" s="40">
        <f t="shared" ref="H35:H42" si="3">G35-EXP(-E35/D$30)</f>
        <v>0.18040802086209973</v>
      </c>
      <c r="K35" s="2"/>
      <c r="N35" s="2"/>
      <c r="O35" s="2"/>
      <c r="P35" s="2"/>
      <c r="Q35" s="2"/>
      <c r="R35" s="2"/>
      <c r="S35" s="2"/>
      <c r="T35" s="2"/>
    </row>
    <row r="36" spans="2:20" x14ac:dyDescent="0.15">
      <c r="B36" s="33"/>
      <c r="C36" s="1" t="s">
        <v>39</v>
      </c>
      <c r="D36" s="41">
        <v>4.5900000000000003E-2</v>
      </c>
      <c r="E36" s="2">
        <v>2</v>
      </c>
      <c r="F36" s="2">
        <v>1</v>
      </c>
      <c r="G36" s="40">
        <f t="shared" si="1"/>
        <v>0.63212055882855767</v>
      </c>
      <c r="H36" s="40">
        <f t="shared" si="3"/>
        <v>0.26424111765711533</v>
      </c>
      <c r="K36" s="2"/>
      <c r="N36" s="2"/>
      <c r="O36" s="2"/>
      <c r="P36" s="2"/>
      <c r="Q36" s="2"/>
      <c r="R36" s="2"/>
      <c r="S36" s="2"/>
      <c r="T36" s="2"/>
    </row>
    <row r="37" spans="2:20" x14ac:dyDescent="0.15">
      <c r="B37" s="33"/>
      <c r="C37" s="1" t="s">
        <v>40</v>
      </c>
      <c r="D37" s="41">
        <v>4.3799999999999999E-2</v>
      </c>
      <c r="E37" s="2">
        <v>3</v>
      </c>
      <c r="F37" s="2">
        <v>1</v>
      </c>
      <c r="G37" s="40">
        <f t="shared" si="1"/>
        <v>0.51791322656771344</v>
      </c>
      <c r="H37" s="40">
        <f t="shared" si="3"/>
        <v>0.29478306641928365</v>
      </c>
      <c r="K37" s="2"/>
      <c r="N37" s="2"/>
      <c r="O37" s="2"/>
      <c r="P37" s="2"/>
      <c r="Q37" s="2"/>
      <c r="R37" s="2"/>
      <c r="S37" s="2"/>
      <c r="T37" s="2"/>
    </row>
    <row r="38" spans="2:20" x14ac:dyDescent="0.15">
      <c r="B38" s="33"/>
      <c r="C38" s="9" t="s">
        <v>45</v>
      </c>
      <c r="D38" s="41">
        <v>4.2000000000000003E-2</v>
      </c>
      <c r="E38" s="2">
        <v>5</v>
      </c>
      <c r="F38" s="2">
        <v>1</v>
      </c>
      <c r="G38" s="40">
        <f t="shared" si="1"/>
        <v>0.36716600055044046</v>
      </c>
      <c r="H38" s="40">
        <f t="shared" si="3"/>
        <v>0.28508100192654168</v>
      </c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15">
      <c r="B39" s="33"/>
      <c r="C39" s="1" t="s">
        <v>41</v>
      </c>
      <c r="D39" s="41">
        <v>4.2099999999999999E-2</v>
      </c>
      <c r="E39" s="2">
        <v>7</v>
      </c>
      <c r="F39" s="2">
        <v>1</v>
      </c>
      <c r="G39" s="40">
        <f t="shared" si="1"/>
        <v>0.27708646187933755</v>
      </c>
      <c r="H39" s="40">
        <f t="shared" si="3"/>
        <v>0.24688907845701905</v>
      </c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15">
      <c r="B40" s="33"/>
      <c r="C40" s="1" t="s">
        <v>42</v>
      </c>
      <c r="D40" s="41">
        <v>4.2099999999999999E-2</v>
      </c>
      <c r="E40" s="2">
        <v>10</v>
      </c>
      <c r="F40" s="2">
        <v>1</v>
      </c>
      <c r="G40" s="40">
        <f t="shared" si="1"/>
        <v>0.1986524106001829</v>
      </c>
      <c r="H40" s="40">
        <f t="shared" si="3"/>
        <v>0.19191446360109743</v>
      </c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x14ac:dyDescent="0.15">
      <c r="B41" s="33"/>
      <c r="C41" s="1" t="s">
        <v>43</v>
      </c>
      <c r="D41" s="41">
        <v>4.4600000000000001E-2</v>
      </c>
      <c r="E41" s="2">
        <v>20</v>
      </c>
      <c r="F41" s="2">
        <v>1</v>
      </c>
      <c r="G41" s="40">
        <f t="shared" si="1"/>
        <v>9.9995460007023751E-2</v>
      </c>
      <c r="H41" s="40">
        <f t="shared" si="3"/>
        <v>9.995006007726126E-2</v>
      </c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2:20" x14ac:dyDescent="0.15">
      <c r="B42" s="33"/>
      <c r="C42" s="30" t="s">
        <v>44</v>
      </c>
      <c r="D42" s="42">
        <v>4.36E-2</v>
      </c>
      <c r="E42" s="43">
        <v>30</v>
      </c>
      <c r="F42" s="43">
        <v>1</v>
      </c>
      <c r="G42" s="44">
        <f t="shared" si="1"/>
        <v>6.6666646273178629E-2</v>
      </c>
      <c r="H42" s="44">
        <f t="shared" si="3"/>
        <v>6.6666340370858126E-2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2:20" x14ac:dyDescent="0.2">
      <c r="B43" s="8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2:20" ht="14" thickBot="1" x14ac:dyDescent="0.25">
      <c r="B44" s="8"/>
      <c r="C44" s="58" t="s">
        <v>49</v>
      </c>
      <c r="D44" s="59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2:20" x14ac:dyDescent="0.15">
      <c r="C45" s="70"/>
      <c r="D45" s="70" t="s">
        <v>36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2:20" x14ac:dyDescent="0.15">
      <c r="C46" s="71" t="s">
        <v>32</v>
      </c>
      <c r="D46" s="72">
        <v>4.4904708139555626E-2</v>
      </c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2:20" x14ac:dyDescent="0.15">
      <c r="C47" s="71" t="s">
        <v>33</v>
      </c>
      <c r="D47" s="72">
        <v>1.1791910453612749E-2</v>
      </c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2:20" ht="14" thickBot="1" x14ac:dyDescent="0.2">
      <c r="C48" s="73" t="s">
        <v>34</v>
      </c>
      <c r="D48" s="74">
        <v>-2.4460698446457468E-2</v>
      </c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3:20" x14ac:dyDescent="0.2">
      <c r="C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3:20" x14ac:dyDescent="0.2">
      <c r="C50" s="9" t="s">
        <v>48</v>
      </c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3:20" x14ac:dyDescent="0.2">
      <c r="C51" s="3"/>
      <c r="D51" s="4" t="s">
        <v>30</v>
      </c>
      <c r="E51" s="4" t="s">
        <v>31</v>
      </c>
      <c r="F51" s="4" t="s">
        <v>32</v>
      </c>
      <c r="G51" s="4" t="s">
        <v>33</v>
      </c>
      <c r="H51" s="4" t="s">
        <v>34</v>
      </c>
      <c r="I51" s="4" t="s">
        <v>35</v>
      </c>
      <c r="J51" s="4" t="s">
        <v>0</v>
      </c>
      <c r="K51" s="4" t="s">
        <v>56</v>
      </c>
      <c r="L51" s="4" t="s">
        <v>57</v>
      </c>
      <c r="M51" s="2"/>
      <c r="N51" s="2"/>
      <c r="O51" s="2"/>
      <c r="P51" s="2"/>
      <c r="Q51" s="2"/>
      <c r="R51" s="2"/>
      <c r="S51" s="2"/>
      <c r="T51" s="2"/>
    </row>
    <row r="52" spans="3:20" x14ac:dyDescent="0.15">
      <c r="C52" s="27" t="s">
        <v>37</v>
      </c>
      <c r="D52" s="37">
        <v>5.5100000000000003E-2</v>
      </c>
      <c r="E52" s="38">
        <f>1/12</f>
        <v>8.3333333333333329E-2</v>
      </c>
      <c r="F52" s="39">
        <v>1</v>
      </c>
      <c r="G52" s="38">
        <f t="shared" ref="G52:G66" si="4">(D$30/E52)*(1-EXP(-E52/D$30))</f>
        <v>0.97945302938068401</v>
      </c>
      <c r="H52" s="38">
        <f t="shared" ref="H52:H54" si="5">G52-EXP(-E52/D$30)</f>
        <v>2.0263572271545849E-2</v>
      </c>
      <c r="I52" s="5"/>
      <c r="J52" s="39"/>
      <c r="K52" s="39"/>
      <c r="L52" s="39"/>
      <c r="M52" s="2"/>
      <c r="N52" s="2"/>
      <c r="O52" s="2"/>
      <c r="P52" s="2"/>
      <c r="Q52" s="2"/>
      <c r="R52" s="2"/>
      <c r="S52" s="2"/>
      <c r="T52" s="2"/>
    </row>
    <row r="53" spans="3:20" x14ac:dyDescent="0.15">
      <c r="C53" s="1" t="s">
        <v>27</v>
      </c>
      <c r="D53" s="32">
        <v>5.4699999999999999E-2</v>
      </c>
      <c r="E53" s="2">
        <f>3/12</f>
        <v>0.25</v>
      </c>
      <c r="F53" s="2">
        <v>1</v>
      </c>
      <c r="G53" s="40">
        <f t="shared" si="4"/>
        <v>0.94002477932323636</v>
      </c>
      <c r="H53" s="40">
        <f t="shared" si="5"/>
        <v>5.7527876738640904E-2</v>
      </c>
      <c r="I53" s="5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3:20" ht="14" thickBot="1" x14ac:dyDescent="0.2">
      <c r="C54" s="1" t="s">
        <v>28</v>
      </c>
      <c r="D54" s="32">
        <v>5.3600000000000002E-2</v>
      </c>
      <c r="E54" s="2">
        <f>6/12</f>
        <v>0.5</v>
      </c>
      <c r="F54" s="2">
        <v>1</v>
      </c>
      <c r="G54" s="40">
        <f t="shared" si="4"/>
        <v>0.88479686771438049</v>
      </c>
      <c r="H54" s="40">
        <f t="shared" si="5"/>
        <v>0.10599608464297561</v>
      </c>
      <c r="I54" s="5"/>
    </row>
    <row r="55" spans="3:20" x14ac:dyDescent="0.15">
      <c r="C55" s="76" t="s">
        <v>38</v>
      </c>
      <c r="D55" s="77">
        <v>4.99E-2</v>
      </c>
      <c r="E55" s="78">
        <v>1</v>
      </c>
      <c r="F55" s="78">
        <v>1</v>
      </c>
      <c r="G55" s="79">
        <f t="shared" si="4"/>
        <v>0.78693868057473315</v>
      </c>
      <c r="H55" s="79">
        <f t="shared" ref="H55:H66" si="6">G55-EXP(-E55/D$30)</f>
        <v>0.18040802086209973</v>
      </c>
      <c r="I55" s="80"/>
      <c r="J55" s="81"/>
      <c r="K55" s="79"/>
      <c r="L55" s="82"/>
    </row>
    <row r="56" spans="3:20" x14ac:dyDescent="0.15">
      <c r="C56" s="83" t="s">
        <v>39</v>
      </c>
      <c r="D56" s="41">
        <v>4.5900000000000003E-2</v>
      </c>
      <c r="E56" s="2">
        <v>2</v>
      </c>
      <c r="F56" s="2">
        <v>1</v>
      </c>
      <c r="G56" s="40">
        <f t="shared" si="4"/>
        <v>0.63212055882855767</v>
      </c>
      <c r="H56" s="40">
        <f t="shared" si="6"/>
        <v>0.26424111765711533</v>
      </c>
      <c r="I56" s="5"/>
      <c r="J56" s="5"/>
      <c r="K56" s="40"/>
      <c r="L56" s="84"/>
    </row>
    <row r="57" spans="3:20" x14ac:dyDescent="0.15">
      <c r="C57" s="83" t="s">
        <v>40</v>
      </c>
      <c r="D57" s="41">
        <v>4.3799999999999999E-2</v>
      </c>
      <c r="E57" s="2">
        <v>3</v>
      </c>
      <c r="F57" s="2">
        <v>1</v>
      </c>
      <c r="G57" s="40">
        <f t="shared" si="4"/>
        <v>0.51791322656771344</v>
      </c>
      <c r="H57" s="40">
        <f t="shared" si="6"/>
        <v>0.29478306641928365</v>
      </c>
      <c r="I57" s="5"/>
      <c r="J57" s="5"/>
      <c r="K57" s="40"/>
      <c r="L57" s="84"/>
    </row>
    <row r="58" spans="3:20" ht="14" thickBot="1" x14ac:dyDescent="0.2">
      <c r="C58" s="85" t="s">
        <v>46</v>
      </c>
      <c r="D58" s="86"/>
      <c r="E58" s="87">
        <v>4</v>
      </c>
      <c r="F58" s="87">
        <v>1</v>
      </c>
      <c r="G58" s="88">
        <f t="shared" si="4"/>
        <v>0.43233235838169365</v>
      </c>
      <c r="H58" s="88">
        <f t="shared" si="6"/>
        <v>0.29699707514508095</v>
      </c>
      <c r="I58" s="89"/>
      <c r="J58" s="89"/>
      <c r="K58" s="88"/>
      <c r="L58" s="90"/>
    </row>
    <row r="59" spans="3:20" x14ac:dyDescent="0.15">
      <c r="C59" s="9" t="s">
        <v>45</v>
      </c>
      <c r="D59" s="41">
        <v>4.2000000000000003E-2</v>
      </c>
      <c r="E59" s="2">
        <v>5</v>
      </c>
      <c r="F59" s="2">
        <v>1</v>
      </c>
      <c r="G59" s="40">
        <f t="shared" si="4"/>
        <v>0.36716600055044046</v>
      </c>
      <c r="H59" s="40">
        <f t="shared" si="6"/>
        <v>0.28508100192654168</v>
      </c>
      <c r="I59" s="5"/>
      <c r="J59" s="5"/>
      <c r="K59" s="40"/>
    </row>
    <row r="60" spans="3:20" x14ac:dyDescent="0.15">
      <c r="C60" s="9" t="s">
        <v>47</v>
      </c>
      <c r="D60" s="41"/>
      <c r="E60" s="2">
        <v>6</v>
      </c>
      <c r="F60" s="2">
        <v>1</v>
      </c>
      <c r="G60" s="40">
        <f t="shared" si="4"/>
        <v>0.31673764387737868</v>
      </c>
      <c r="H60" s="40">
        <f t="shared" si="6"/>
        <v>0.26695057550951473</v>
      </c>
      <c r="I60" s="5"/>
      <c r="J60" s="5"/>
      <c r="K60" s="40"/>
    </row>
    <row r="61" spans="3:20" x14ac:dyDescent="0.15">
      <c r="C61" s="1" t="s">
        <v>41</v>
      </c>
      <c r="D61" s="41">
        <v>4.2099999999999999E-2</v>
      </c>
      <c r="E61" s="2">
        <v>7</v>
      </c>
      <c r="F61" s="2">
        <v>1</v>
      </c>
      <c r="G61" s="40">
        <f t="shared" si="4"/>
        <v>0.27708646187933755</v>
      </c>
      <c r="H61" s="40">
        <f t="shared" si="6"/>
        <v>0.24688907845701905</v>
      </c>
      <c r="I61" s="5"/>
      <c r="J61" s="5"/>
      <c r="K61" s="40"/>
    </row>
    <row r="62" spans="3:20" x14ac:dyDescent="0.15">
      <c r="C62" s="1" t="s">
        <v>50</v>
      </c>
      <c r="D62" s="41"/>
      <c r="E62" s="2">
        <v>8</v>
      </c>
      <c r="F62" s="2">
        <v>1</v>
      </c>
      <c r="G62" s="40">
        <f t="shared" si="4"/>
        <v>0.24542109027781644</v>
      </c>
      <c r="H62" s="40">
        <f t="shared" si="6"/>
        <v>0.22710545138908228</v>
      </c>
      <c r="I62" s="5"/>
      <c r="J62" s="5"/>
      <c r="K62" s="40"/>
    </row>
    <row r="63" spans="3:20" x14ac:dyDescent="0.15">
      <c r="C63" s="1" t="s">
        <v>51</v>
      </c>
      <c r="D63" s="41"/>
      <c r="E63" s="2">
        <v>9</v>
      </c>
      <c r="F63" s="2">
        <v>1</v>
      </c>
      <c r="G63" s="40">
        <f t="shared" si="4"/>
        <v>0.21975355632483504</v>
      </c>
      <c r="H63" s="40">
        <f t="shared" si="6"/>
        <v>0.20864455978659274</v>
      </c>
      <c r="I63" s="5"/>
      <c r="J63" s="5"/>
      <c r="K63" s="40"/>
    </row>
    <row r="64" spans="3:20" x14ac:dyDescent="0.15">
      <c r="C64" s="1" t="s">
        <v>42</v>
      </c>
      <c r="D64" s="41">
        <v>4.2099999999999999E-2</v>
      </c>
      <c r="E64" s="2">
        <v>10</v>
      </c>
      <c r="F64" s="2">
        <v>1</v>
      </c>
      <c r="G64" s="40">
        <f t="shared" si="4"/>
        <v>0.1986524106001829</v>
      </c>
      <c r="H64" s="40">
        <f t="shared" si="6"/>
        <v>0.19191446360109743</v>
      </c>
      <c r="I64" s="5"/>
      <c r="J64" s="5"/>
      <c r="K64" s="40"/>
    </row>
    <row r="65" spans="2:13" x14ac:dyDescent="0.15">
      <c r="C65" s="1" t="s">
        <v>43</v>
      </c>
      <c r="D65" s="41">
        <v>4.4600000000000001E-2</v>
      </c>
      <c r="E65" s="2">
        <v>20</v>
      </c>
      <c r="F65" s="2">
        <v>1</v>
      </c>
      <c r="G65" s="40">
        <f t="shared" si="4"/>
        <v>9.9995460007023751E-2</v>
      </c>
      <c r="H65" s="40">
        <f t="shared" si="6"/>
        <v>9.995006007726126E-2</v>
      </c>
      <c r="I65" s="5"/>
    </row>
    <row r="66" spans="2:13" x14ac:dyDescent="0.15">
      <c r="C66" s="30" t="s">
        <v>44</v>
      </c>
      <c r="D66" s="42">
        <v>4.36E-2</v>
      </c>
      <c r="E66" s="43">
        <v>30</v>
      </c>
      <c r="F66" s="43">
        <v>1</v>
      </c>
      <c r="G66" s="44">
        <f t="shared" si="4"/>
        <v>6.6666646273178629E-2</v>
      </c>
      <c r="H66" s="44">
        <f t="shared" si="6"/>
        <v>6.6666340370858126E-2</v>
      </c>
      <c r="I66" s="7"/>
      <c r="J66" s="43"/>
      <c r="K66" s="55"/>
      <c r="L66" s="55"/>
    </row>
    <row r="69" spans="2:13" x14ac:dyDescent="0.2">
      <c r="B69" s="8" t="s">
        <v>52</v>
      </c>
    </row>
    <row r="70" spans="2:13" x14ac:dyDescent="0.2">
      <c r="C70" s="66" t="s">
        <v>62</v>
      </c>
      <c r="D70" s="4" t="s">
        <v>58</v>
      </c>
      <c r="E70" s="4" t="s">
        <v>35</v>
      </c>
      <c r="F70" s="4" t="s">
        <v>0</v>
      </c>
      <c r="G70" s="4" t="s">
        <v>56</v>
      </c>
      <c r="H70" s="4" t="s">
        <v>60</v>
      </c>
      <c r="I70" s="4" t="s">
        <v>61</v>
      </c>
      <c r="J70" s="4"/>
      <c r="K70" s="66" t="s">
        <v>63</v>
      </c>
      <c r="L70" s="66" t="s">
        <v>64</v>
      </c>
      <c r="M70" s="66" t="s">
        <v>66</v>
      </c>
    </row>
    <row r="71" spans="2:13" x14ac:dyDescent="0.2">
      <c r="C71" s="9">
        <v>1</v>
      </c>
      <c r="D71" s="54">
        <v>1</v>
      </c>
      <c r="E71" s="45"/>
      <c r="F71" s="45"/>
      <c r="G71" s="40"/>
      <c r="H71" s="40"/>
      <c r="I71" s="5"/>
      <c r="K71" s="62"/>
      <c r="L71" s="62"/>
      <c r="M71" s="63"/>
    </row>
    <row r="72" spans="2:13" x14ac:dyDescent="0.2">
      <c r="C72" s="9">
        <v>2</v>
      </c>
      <c r="D72" s="54">
        <v>1</v>
      </c>
      <c r="E72" s="45"/>
      <c r="F72" s="45"/>
      <c r="G72" s="40"/>
      <c r="H72" s="40"/>
      <c r="I72" s="5"/>
      <c r="K72" s="62"/>
      <c r="L72" s="62"/>
      <c r="M72" s="63"/>
    </row>
    <row r="73" spans="2:13" x14ac:dyDescent="0.2">
      <c r="C73" s="9">
        <v>3</v>
      </c>
      <c r="D73" s="54">
        <v>1</v>
      </c>
      <c r="E73" s="45"/>
      <c r="F73" s="45"/>
      <c r="G73" s="40"/>
      <c r="H73" s="40"/>
      <c r="I73" s="5"/>
      <c r="K73" s="62"/>
      <c r="L73" s="62"/>
      <c r="M73" s="63"/>
    </row>
    <row r="74" spans="2:13" x14ac:dyDescent="0.2">
      <c r="C74" s="55">
        <v>4</v>
      </c>
      <c r="D74" s="56">
        <v>1</v>
      </c>
      <c r="E74" s="57"/>
      <c r="F74" s="57"/>
      <c r="G74" s="44"/>
      <c r="H74" s="44"/>
      <c r="I74" s="7"/>
      <c r="J74" s="43"/>
      <c r="K74" s="64"/>
      <c r="L74" s="64"/>
      <c r="M74" s="65"/>
    </row>
    <row r="75" spans="2:13" x14ac:dyDescent="0.2">
      <c r="G75" s="40">
        <f>SUM(G71:G74)</f>
        <v>0</v>
      </c>
      <c r="H75" s="40">
        <f>SUM(H71:H74)</f>
        <v>0</v>
      </c>
    </row>
    <row r="76" spans="2:13" x14ac:dyDescent="0.2">
      <c r="H76" s="52" t="s">
        <v>59</v>
      </c>
      <c r="I76" s="53"/>
      <c r="L76" s="61" t="s">
        <v>65</v>
      </c>
      <c r="M76" s="67"/>
    </row>
    <row r="82" spans="10:10" x14ac:dyDescent="0.2">
      <c r="J82" s="6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88C2-03A2-684F-9D6D-B7B82968DC81}">
  <dimension ref="A2:T82"/>
  <sheetViews>
    <sheetView workbookViewId="0">
      <selection activeCell="K27" sqref="K27"/>
    </sheetView>
  </sheetViews>
  <sheetFormatPr baseColWidth="10" defaultColWidth="9.5" defaultRowHeight="13" x14ac:dyDescent="0.2"/>
  <cols>
    <col min="1" max="1" width="6.6640625" style="2" customWidth="1"/>
    <col min="2" max="2" width="8.5" style="9" customWidth="1"/>
    <col min="3" max="3" width="19.6640625" style="9" customWidth="1"/>
    <col min="4" max="4" width="14.6640625" style="2" bestFit="1" customWidth="1"/>
    <col min="5" max="8" width="9.5" style="2"/>
    <col min="9" max="9" width="11.33203125" style="2" customWidth="1"/>
    <col min="10" max="10" width="9.5" style="2"/>
    <col min="11" max="11" width="9.5" style="9"/>
    <col min="12" max="12" width="8.1640625" style="9" customWidth="1"/>
    <col min="13" max="13" width="12.6640625" style="9" customWidth="1"/>
    <col min="14" max="14" width="12.83203125" style="9" customWidth="1"/>
    <col min="15" max="20" width="9.5" style="9"/>
    <col min="21" max="16384" width="9.5" style="2"/>
  </cols>
  <sheetData>
    <row r="2" spans="1:17" x14ac:dyDescent="0.2">
      <c r="A2" s="8" t="s">
        <v>52</v>
      </c>
    </row>
    <row r="3" spans="1:17" x14ac:dyDescent="0.2">
      <c r="A3" s="8"/>
      <c r="B3" s="10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7" x14ac:dyDescent="0.2">
      <c r="A4" s="8"/>
      <c r="B4" s="12" t="s">
        <v>25</v>
      </c>
      <c r="C4" s="11"/>
      <c r="D4" s="11"/>
      <c r="E4" s="11"/>
      <c r="F4" s="11"/>
      <c r="G4" s="9" t="s">
        <v>55</v>
      </c>
      <c r="H4" s="11"/>
      <c r="I4" s="11"/>
      <c r="J4" s="11"/>
      <c r="K4" s="11"/>
      <c r="L4" s="11" t="s">
        <v>1</v>
      </c>
      <c r="M4" s="11" t="s">
        <v>2</v>
      </c>
      <c r="N4" s="11"/>
      <c r="O4" s="11"/>
      <c r="P4" s="11"/>
    </row>
    <row r="5" spans="1:17" x14ac:dyDescent="0.2">
      <c r="A5" s="8"/>
      <c r="B5" s="13"/>
      <c r="C5" s="14" t="s">
        <v>15</v>
      </c>
      <c r="D5" s="14" t="s">
        <v>4</v>
      </c>
      <c r="E5" s="14" t="s">
        <v>6</v>
      </c>
      <c r="F5" s="50" t="s">
        <v>7</v>
      </c>
      <c r="G5" s="46" t="s">
        <v>9</v>
      </c>
      <c r="H5" s="14" t="s">
        <v>1</v>
      </c>
      <c r="I5" s="14" t="s">
        <v>2</v>
      </c>
      <c r="J5" s="14" t="s">
        <v>11</v>
      </c>
      <c r="K5" s="14" t="s">
        <v>3</v>
      </c>
      <c r="L5" s="14" t="s">
        <v>7</v>
      </c>
      <c r="M5" s="14" t="s">
        <v>14</v>
      </c>
      <c r="N5" s="14" t="s">
        <v>17</v>
      </c>
      <c r="O5" s="14" t="s">
        <v>20</v>
      </c>
      <c r="P5" s="14" t="s">
        <v>17</v>
      </c>
    </row>
    <row r="6" spans="1:17" x14ac:dyDescent="0.2">
      <c r="A6" s="8"/>
      <c r="B6" s="13"/>
      <c r="C6" s="15" t="s">
        <v>5</v>
      </c>
      <c r="D6" s="15" t="s">
        <v>5</v>
      </c>
      <c r="E6" s="15" t="s">
        <v>5</v>
      </c>
      <c r="F6" s="51" t="s">
        <v>8</v>
      </c>
      <c r="G6" s="47" t="s">
        <v>8</v>
      </c>
      <c r="H6" s="15" t="s">
        <v>10</v>
      </c>
      <c r="I6" s="15" t="s">
        <v>10</v>
      </c>
      <c r="J6" s="15" t="s">
        <v>12</v>
      </c>
      <c r="K6" s="15" t="s">
        <v>16</v>
      </c>
      <c r="L6" s="15" t="s">
        <v>13</v>
      </c>
      <c r="M6" s="15" t="s">
        <v>13</v>
      </c>
      <c r="N6" s="15" t="s">
        <v>18</v>
      </c>
      <c r="O6" s="16" t="s">
        <v>21</v>
      </c>
      <c r="P6" s="15" t="s">
        <v>22</v>
      </c>
    </row>
    <row r="7" spans="1:17" x14ac:dyDescent="0.2">
      <c r="A7" s="8"/>
      <c r="B7" s="13"/>
      <c r="C7" s="17">
        <f>D7</f>
        <v>44001</v>
      </c>
      <c r="D7" s="17">
        <v>44001</v>
      </c>
      <c r="E7" s="17">
        <v>44366</v>
      </c>
      <c r="F7" s="18">
        <v>4.3550499999999999E-2</v>
      </c>
      <c r="G7" s="91">
        <f>J55</f>
        <v>4.99E-2</v>
      </c>
      <c r="H7" s="11">
        <v>90</v>
      </c>
      <c r="I7" s="11">
        <v>92</v>
      </c>
      <c r="J7" s="19">
        <f>(1+G7)^(-1)</f>
        <v>0.95247166396799687</v>
      </c>
      <c r="K7" s="19">
        <f>(1+G7*I7/360)^-1</f>
        <v>0.98740834930557764</v>
      </c>
      <c r="L7" s="11">
        <f t="shared" ref="L7:M10" si="0">F7*1000000</f>
        <v>43550.5</v>
      </c>
      <c r="M7" s="20">
        <f>G7*1000000</f>
        <v>49900</v>
      </c>
      <c r="N7" s="21">
        <f>(L7-M7)*J7</f>
        <v>-6047.7188303647963</v>
      </c>
      <c r="O7" s="21">
        <f>M7+100</f>
        <v>50000</v>
      </c>
      <c r="P7" s="21">
        <f>(L7-O7)*J7</f>
        <v>-6142.9659967615962</v>
      </c>
    </row>
    <row r="8" spans="1:17" x14ac:dyDescent="0.2">
      <c r="A8" s="8"/>
      <c r="B8" s="13"/>
      <c r="C8" s="17">
        <f>C7</f>
        <v>44001</v>
      </c>
      <c r="D8" s="17">
        <f>E7</f>
        <v>44366</v>
      </c>
      <c r="E8" s="17">
        <v>44731</v>
      </c>
      <c r="F8" s="18">
        <f>F7</f>
        <v>4.3550499999999999E-2</v>
      </c>
      <c r="G8" s="48">
        <f>J56</f>
        <v>4.2914166010474153E-2</v>
      </c>
      <c r="H8" s="11">
        <v>90</v>
      </c>
      <c r="I8" s="11">
        <v>91</v>
      </c>
      <c r="J8" s="19">
        <f>J7*(1+G8)^(-1)</f>
        <v>0.91327905498833839</v>
      </c>
      <c r="K8" s="19">
        <f>((1+G8*I8/360)^-1)*K7</f>
        <v>0.97681213786026788</v>
      </c>
      <c r="L8" s="11">
        <f t="shared" si="0"/>
        <v>43550.5</v>
      </c>
      <c r="M8" s="20">
        <f t="shared" si="0"/>
        <v>42914.166010474153</v>
      </c>
      <c r="N8" s="21">
        <f>(L8-M8)*J8</f>
        <v>581.15050461112457</v>
      </c>
      <c r="O8" s="21">
        <f>M8+100</f>
        <v>43014.166010474153</v>
      </c>
      <c r="P8" s="21">
        <f>(L8-O8)*J8</f>
        <v>489.82259911229079</v>
      </c>
    </row>
    <row r="9" spans="1:17" x14ac:dyDescent="0.2">
      <c r="B9" s="13"/>
      <c r="C9" s="17">
        <f>C8</f>
        <v>44001</v>
      </c>
      <c r="D9" s="17">
        <f>E8</f>
        <v>44731</v>
      </c>
      <c r="E9" s="17">
        <v>45096</v>
      </c>
      <c r="F9" s="18">
        <f>F8</f>
        <v>4.3550499999999999E-2</v>
      </c>
      <c r="G9" s="48">
        <f>J57</f>
        <v>4.0408781195347299E-2</v>
      </c>
      <c r="H9" s="11">
        <v>90</v>
      </c>
      <c r="I9" s="11">
        <v>90</v>
      </c>
      <c r="J9" s="19">
        <f>J8*(1+G9)^(-1)</f>
        <v>0.8778079073295143</v>
      </c>
      <c r="K9" s="19">
        <f>((1+G9*I9/360)^-1)*K8*K7</f>
        <v>0.95486621563168672</v>
      </c>
      <c r="L9" s="11">
        <f t="shared" si="0"/>
        <v>43550.5</v>
      </c>
      <c r="M9" s="20">
        <f t="shared" si="0"/>
        <v>40408.781195347299</v>
      </c>
      <c r="N9" s="21">
        <f>(L9-M9)*J9</f>
        <v>2757.8256093299706</v>
      </c>
      <c r="O9" s="21">
        <f>M9+100</f>
        <v>40508.781195347299</v>
      </c>
      <c r="P9" s="21">
        <f>(L9-O9)*J9</f>
        <v>2670.044818597019</v>
      </c>
    </row>
    <row r="10" spans="1:17" x14ac:dyDescent="0.2">
      <c r="B10" s="13"/>
      <c r="C10" s="22">
        <f>C9</f>
        <v>44001</v>
      </c>
      <c r="D10" s="22">
        <f>E9</f>
        <v>45096</v>
      </c>
      <c r="E10" s="22">
        <v>45462</v>
      </c>
      <c r="F10" s="23">
        <f>F9</f>
        <v>4.3550499999999999E-2</v>
      </c>
      <c r="G10" s="49">
        <f>J58</f>
        <v>4.0340457226111903E-2</v>
      </c>
      <c r="H10" s="15">
        <v>90</v>
      </c>
      <c r="I10" s="15">
        <v>92</v>
      </c>
      <c r="J10" s="24">
        <f>J9*(1+G10)^(-1)</f>
        <v>0.84376984595027427</v>
      </c>
      <c r="K10" s="24">
        <f>((1+G10*I10/360)^-1)*K9*K8*K7</f>
        <v>0.91158264986795301</v>
      </c>
      <c r="L10" s="15">
        <f t="shared" si="0"/>
        <v>43550.5</v>
      </c>
      <c r="M10" s="6">
        <f t="shared" si="0"/>
        <v>40340.457226111903</v>
      </c>
      <c r="N10" s="25">
        <f>(L10-M10)*J10</f>
        <v>2708.537296817351</v>
      </c>
      <c r="O10" s="25">
        <f>M10+100</f>
        <v>40440.457226111903</v>
      </c>
      <c r="P10" s="25">
        <f>(L10-O10)*J10</f>
        <v>2624.1603122223232</v>
      </c>
    </row>
    <row r="11" spans="1:17" x14ac:dyDescent="0.2">
      <c r="B11" s="13"/>
      <c r="C11" s="11"/>
      <c r="D11" s="11"/>
      <c r="E11" s="11"/>
      <c r="F11" s="11"/>
      <c r="G11" s="18"/>
      <c r="H11" s="11"/>
      <c r="I11" s="11"/>
      <c r="J11" s="11"/>
      <c r="K11" s="11"/>
      <c r="L11" s="11"/>
      <c r="M11" s="60" t="s">
        <v>19</v>
      </c>
      <c r="N11" s="69">
        <f>SUM(N7:N10)</f>
        <v>-0.20541960635046053</v>
      </c>
      <c r="O11" s="11"/>
      <c r="P11" s="21">
        <f>SUM(P7:P10)</f>
        <v>-358.93826682996314</v>
      </c>
    </row>
    <row r="12" spans="1:17" x14ac:dyDescent="0.2">
      <c r="B12" s="13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 t="s">
        <v>23</v>
      </c>
      <c r="N12" s="21">
        <f>P11-N11</f>
        <v>-358.73284722361268</v>
      </c>
      <c r="O12" s="11"/>
      <c r="P12" s="11"/>
    </row>
    <row r="13" spans="1:17" x14ac:dyDescent="0.15"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C14" s="1" t="s">
        <v>26</v>
      </c>
      <c r="D14" s="1"/>
    </row>
    <row r="15" spans="1:17" x14ac:dyDescent="0.15">
      <c r="C15" s="27" t="s">
        <v>37</v>
      </c>
      <c r="D15" s="28">
        <v>5.51</v>
      </c>
    </row>
    <row r="16" spans="1:17" x14ac:dyDescent="0.15">
      <c r="C16" s="1" t="s">
        <v>27</v>
      </c>
      <c r="D16" s="29">
        <v>5.47</v>
      </c>
    </row>
    <row r="17" spans="2:20" x14ac:dyDescent="0.15">
      <c r="C17" s="1" t="s">
        <v>28</v>
      </c>
      <c r="D17" s="29">
        <v>5.36</v>
      </c>
    </row>
    <row r="18" spans="2:20" x14ac:dyDescent="0.15">
      <c r="C18" s="1" t="s">
        <v>38</v>
      </c>
      <c r="D18" s="29">
        <v>4.99</v>
      </c>
    </row>
    <row r="19" spans="2:20" x14ac:dyDescent="0.15">
      <c r="C19" s="1" t="s">
        <v>39</v>
      </c>
      <c r="D19" s="29">
        <v>4.59</v>
      </c>
    </row>
    <row r="20" spans="2:20" x14ac:dyDescent="0.15">
      <c r="C20" s="1" t="s">
        <v>40</v>
      </c>
      <c r="D20" s="29">
        <v>4.38</v>
      </c>
    </row>
    <row r="21" spans="2:20" x14ac:dyDescent="0.15">
      <c r="C21" s="9" t="s">
        <v>45</v>
      </c>
      <c r="D21" s="75">
        <v>4.2</v>
      </c>
    </row>
    <row r="22" spans="2:20" x14ac:dyDescent="0.15">
      <c r="C22" s="1" t="s">
        <v>41</v>
      </c>
      <c r="D22" s="29">
        <v>4.21</v>
      </c>
    </row>
    <row r="23" spans="2:20" x14ac:dyDescent="0.15">
      <c r="C23" s="1" t="s">
        <v>42</v>
      </c>
      <c r="D23" s="29">
        <v>4.21</v>
      </c>
    </row>
    <row r="24" spans="2:20" x14ac:dyDescent="0.15">
      <c r="C24" s="1" t="s">
        <v>43</v>
      </c>
      <c r="D24" s="29">
        <v>4.46</v>
      </c>
    </row>
    <row r="25" spans="2:20" x14ac:dyDescent="0.15">
      <c r="C25" s="30" t="s">
        <v>44</v>
      </c>
      <c r="D25" s="31">
        <v>4.3600000000000003</v>
      </c>
    </row>
    <row r="26" spans="2:20" x14ac:dyDescent="0.15">
      <c r="C26" s="1"/>
      <c r="D26" s="32"/>
    </row>
    <row r="28" spans="2:20" ht="14" x14ac:dyDescent="0.2">
      <c r="B28" s="33" t="s">
        <v>53</v>
      </c>
      <c r="K28" s="34"/>
      <c r="L28" s="34"/>
      <c r="M28" s="34"/>
      <c r="N28" s="34"/>
      <c r="O28" s="34"/>
      <c r="P28" s="34"/>
      <c r="Q28" s="34"/>
      <c r="R28" s="34"/>
      <c r="S28" s="34"/>
    </row>
    <row r="29" spans="2:20" x14ac:dyDescent="0.2">
      <c r="B29" s="33"/>
      <c r="C29" s="35" t="s">
        <v>29</v>
      </c>
      <c r="K29" s="2"/>
      <c r="L29" s="2"/>
      <c r="M29" s="2"/>
      <c r="N29" s="2"/>
      <c r="O29" s="2"/>
      <c r="P29" s="2"/>
      <c r="Q29" s="2"/>
      <c r="R29" s="2"/>
      <c r="S29" s="2"/>
    </row>
    <row r="30" spans="2:20" x14ac:dyDescent="0.2">
      <c r="B30" s="33"/>
      <c r="C30" s="11" t="s">
        <v>54</v>
      </c>
      <c r="D30" s="36">
        <v>2</v>
      </c>
      <c r="K30" s="2"/>
      <c r="L30" s="2"/>
      <c r="M30" s="2"/>
      <c r="N30" s="2"/>
      <c r="O30" s="2"/>
      <c r="P30" s="2"/>
      <c r="Q30" s="2"/>
      <c r="R30" s="2"/>
      <c r="S30" s="2"/>
    </row>
    <row r="31" spans="2:20" x14ac:dyDescent="0.2">
      <c r="B31" s="33"/>
      <c r="C31" s="3"/>
      <c r="D31" s="4" t="s">
        <v>30</v>
      </c>
      <c r="E31" s="4" t="s">
        <v>31</v>
      </c>
      <c r="F31" s="4" t="s">
        <v>32</v>
      </c>
      <c r="G31" s="4" t="s">
        <v>33</v>
      </c>
      <c r="H31" s="4" t="s">
        <v>34</v>
      </c>
      <c r="K31" s="2"/>
      <c r="L31" s="2"/>
      <c r="M31" s="2"/>
      <c r="N31" s="2"/>
      <c r="O31" s="2"/>
      <c r="P31" s="2"/>
      <c r="Q31" s="2"/>
      <c r="R31" s="2"/>
      <c r="T31" s="2"/>
    </row>
    <row r="32" spans="2:20" x14ac:dyDescent="0.15">
      <c r="B32" s="33"/>
      <c r="C32" s="27" t="s">
        <v>37</v>
      </c>
      <c r="D32" s="37">
        <v>5.5100000000000003E-2</v>
      </c>
      <c r="E32" s="38">
        <f>1/12</f>
        <v>8.3333333333333329E-2</v>
      </c>
      <c r="F32" s="39">
        <v>1</v>
      </c>
      <c r="G32" s="38">
        <f t="shared" ref="G32:G42" si="1">(D$30/E32)*(1-EXP(-E32/D$30))</f>
        <v>0.97945302938068401</v>
      </c>
      <c r="H32" s="38">
        <f t="shared" ref="H32:H42" si="2">G32-EXP(-E32/D$30)</f>
        <v>2.0263572271545849E-2</v>
      </c>
      <c r="K32" s="2"/>
      <c r="L32" s="2"/>
      <c r="M32" s="2"/>
      <c r="N32" s="2"/>
      <c r="O32" s="2"/>
      <c r="P32" s="2"/>
      <c r="Q32" s="2"/>
      <c r="R32" s="2"/>
      <c r="T32" s="2"/>
    </row>
    <row r="33" spans="2:20" x14ac:dyDescent="0.15">
      <c r="B33" s="33"/>
      <c r="C33" s="1" t="s">
        <v>27</v>
      </c>
      <c r="D33" s="32">
        <v>5.4699999999999999E-2</v>
      </c>
      <c r="E33" s="2">
        <f>3/12</f>
        <v>0.25</v>
      </c>
      <c r="F33" s="2">
        <v>1</v>
      </c>
      <c r="G33" s="40">
        <f t="shared" si="1"/>
        <v>0.94002477932323636</v>
      </c>
      <c r="H33" s="40">
        <f t="shared" si="2"/>
        <v>5.7527876738640904E-2</v>
      </c>
      <c r="K33" s="2"/>
      <c r="N33" s="2"/>
      <c r="O33" s="2"/>
      <c r="P33" s="2"/>
      <c r="Q33" s="2"/>
      <c r="R33" s="2"/>
      <c r="S33" s="2"/>
      <c r="T33" s="2"/>
    </row>
    <row r="34" spans="2:20" x14ac:dyDescent="0.15">
      <c r="B34" s="33"/>
      <c r="C34" s="1" t="s">
        <v>28</v>
      </c>
      <c r="D34" s="32">
        <v>5.3600000000000002E-2</v>
      </c>
      <c r="E34" s="2">
        <f>6/12</f>
        <v>0.5</v>
      </c>
      <c r="F34" s="2">
        <v>1</v>
      </c>
      <c r="G34" s="40">
        <f t="shared" si="1"/>
        <v>0.88479686771438049</v>
      </c>
      <c r="H34" s="40">
        <f t="shared" si="2"/>
        <v>0.10599608464297561</v>
      </c>
      <c r="K34" s="2"/>
      <c r="N34" s="2"/>
      <c r="O34" s="2"/>
      <c r="P34" s="2"/>
      <c r="Q34" s="2"/>
      <c r="R34" s="2"/>
      <c r="S34" s="2"/>
      <c r="T34" s="2"/>
    </row>
    <row r="35" spans="2:20" x14ac:dyDescent="0.15">
      <c r="B35" s="33"/>
      <c r="C35" s="1" t="s">
        <v>38</v>
      </c>
      <c r="D35" s="41">
        <v>4.99E-2</v>
      </c>
      <c r="E35" s="2">
        <v>1</v>
      </c>
      <c r="F35" s="2">
        <v>1</v>
      </c>
      <c r="G35" s="40">
        <f t="shared" si="1"/>
        <v>0.78693868057473315</v>
      </c>
      <c r="H35" s="40">
        <f t="shared" si="2"/>
        <v>0.18040802086209973</v>
      </c>
      <c r="K35" s="2"/>
      <c r="N35" s="2"/>
      <c r="O35" s="2"/>
      <c r="P35" s="2"/>
      <c r="Q35" s="2"/>
      <c r="R35" s="2"/>
      <c r="S35" s="2"/>
      <c r="T35" s="2"/>
    </row>
    <row r="36" spans="2:20" x14ac:dyDescent="0.15">
      <c r="B36" s="33"/>
      <c r="C36" s="1" t="s">
        <v>39</v>
      </c>
      <c r="D36" s="41">
        <v>4.5900000000000003E-2</v>
      </c>
      <c r="E36" s="2">
        <v>2</v>
      </c>
      <c r="F36" s="2">
        <v>1</v>
      </c>
      <c r="G36" s="40">
        <f t="shared" si="1"/>
        <v>0.63212055882855767</v>
      </c>
      <c r="H36" s="40">
        <f t="shared" si="2"/>
        <v>0.26424111765711533</v>
      </c>
      <c r="K36" s="2"/>
      <c r="N36" s="2"/>
      <c r="O36" s="2"/>
      <c r="P36" s="2"/>
      <c r="Q36" s="2"/>
      <c r="R36" s="2"/>
      <c r="S36" s="2"/>
      <c r="T36" s="2"/>
    </row>
    <row r="37" spans="2:20" x14ac:dyDescent="0.15">
      <c r="B37" s="33"/>
      <c r="C37" s="1" t="s">
        <v>40</v>
      </c>
      <c r="D37" s="41">
        <v>4.3799999999999999E-2</v>
      </c>
      <c r="E37" s="2">
        <v>3</v>
      </c>
      <c r="F37" s="2">
        <v>1</v>
      </c>
      <c r="G37" s="40">
        <f t="shared" si="1"/>
        <v>0.51791322656771344</v>
      </c>
      <c r="H37" s="40">
        <f t="shared" si="2"/>
        <v>0.29478306641928365</v>
      </c>
      <c r="K37" s="2"/>
      <c r="N37" s="2"/>
      <c r="O37" s="2"/>
      <c r="P37" s="2"/>
      <c r="Q37" s="2"/>
      <c r="R37" s="2"/>
      <c r="S37" s="2"/>
      <c r="T37" s="2"/>
    </row>
    <row r="38" spans="2:20" x14ac:dyDescent="0.15">
      <c r="B38" s="33"/>
      <c r="C38" s="9" t="s">
        <v>45</v>
      </c>
      <c r="D38" s="41">
        <v>4.2000000000000003E-2</v>
      </c>
      <c r="E38" s="2">
        <v>5</v>
      </c>
      <c r="F38" s="2">
        <v>1</v>
      </c>
      <c r="G38" s="40">
        <f t="shared" si="1"/>
        <v>0.36716600055044046</v>
      </c>
      <c r="H38" s="40">
        <f t="shared" si="2"/>
        <v>0.28508100192654168</v>
      </c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15">
      <c r="B39" s="33"/>
      <c r="C39" s="1" t="s">
        <v>41</v>
      </c>
      <c r="D39" s="41">
        <v>4.2099999999999999E-2</v>
      </c>
      <c r="E39" s="2">
        <v>7</v>
      </c>
      <c r="F39" s="2">
        <v>1</v>
      </c>
      <c r="G39" s="40">
        <f t="shared" si="1"/>
        <v>0.27708646187933755</v>
      </c>
      <c r="H39" s="40">
        <f t="shared" si="2"/>
        <v>0.24688907845701905</v>
      </c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15">
      <c r="B40" s="33"/>
      <c r="C40" s="1" t="s">
        <v>42</v>
      </c>
      <c r="D40" s="41">
        <v>4.2099999999999999E-2</v>
      </c>
      <c r="E40" s="2">
        <v>10</v>
      </c>
      <c r="F40" s="2">
        <v>1</v>
      </c>
      <c r="G40" s="40">
        <f t="shared" si="1"/>
        <v>0.1986524106001829</v>
      </c>
      <c r="H40" s="40">
        <f t="shared" si="2"/>
        <v>0.19191446360109743</v>
      </c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x14ac:dyDescent="0.15">
      <c r="B41" s="33"/>
      <c r="C41" s="1" t="s">
        <v>43</v>
      </c>
      <c r="D41" s="41">
        <v>4.4600000000000001E-2</v>
      </c>
      <c r="E41" s="2">
        <v>20</v>
      </c>
      <c r="F41" s="2">
        <v>1</v>
      </c>
      <c r="G41" s="40">
        <f t="shared" si="1"/>
        <v>9.9995460007023751E-2</v>
      </c>
      <c r="H41" s="40">
        <f t="shared" si="2"/>
        <v>9.995006007726126E-2</v>
      </c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2:20" x14ac:dyDescent="0.15">
      <c r="B42" s="33"/>
      <c r="C42" s="30" t="s">
        <v>44</v>
      </c>
      <c r="D42" s="42">
        <v>4.36E-2</v>
      </c>
      <c r="E42" s="43">
        <v>30</v>
      </c>
      <c r="F42" s="43">
        <v>1</v>
      </c>
      <c r="G42" s="44">
        <f t="shared" si="1"/>
        <v>6.6666646273178629E-2</v>
      </c>
      <c r="H42" s="44">
        <f t="shared" si="2"/>
        <v>6.6666340370858126E-2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2:20" x14ac:dyDescent="0.2">
      <c r="B43" s="8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2:20" ht="14" thickBot="1" x14ac:dyDescent="0.25">
      <c r="B44" s="8"/>
      <c r="C44" s="58" t="s">
        <v>49</v>
      </c>
      <c r="D44" s="59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2:20" x14ac:dyDescent="0.15">
      <c r="C45" s="70"/>
      <c r="D45" s="70" t="s">
        <v>36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2:20" x14ac:dyDescent="0.15">
      <c r="C46" s="71" t="s">
        <v>32</v>
      </c>
      <c r="D46" s="72">
        <v>4.4904708139555626E-2</v>
      </c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2:20" x14ac:dyDescent="0.15">
      <c r="C47" s="71" t="s">
        <v>33</v>
      </c>
      <c r="D47" s="72">
        <v>1.1791910453612749E-2</v>
      </c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2:20" ht="14" thickBot="1" x14ac:dyDescent="0.2">
      <c r="C48" s="73" t="s">
        <v>34</v>
      </c>
      <c r="D48" s="74">
        <v>-2.4460698446457468E-2</v>
      </c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3:20" x14ac:dyDescent="0.2">
      <c r="C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3:20" x14ac:dyDescent="0.2">
      <c r="C50" s="9" t="s">
        <v>48</v>
      </c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3:20" x14ac:dyDescent="0.2">
      <c r="C51" s="3"/>
      <c r="D51" s="4" t="s">
        <v>30</v>
      </c>
      <c r="E51" s="4" t="s">
        <v>31</v>
      </c>
      <c r="F51" s="4" t="s">
        <v>32</v>
      </c>
      <c r="G51" s="4" t="s">
        <v>33</v>
      </c>
      <c r="H51" s="4" t="s">
        <v>34</v>
      </c>
      <c r="I51" s="4" t="s">
        <v>35</v>
      </c>
      <c r="J51" s="4" t="s">
        <v>0</v>
      </c>
      <c r="K51" s="4" t="s">
        <v>56</v>
      </c>
      <c r="L51" s="4" t="s">
        <v>57</v>
      </c>
      <c r="M51" s="2"/>
      <c r="N51" s="2"/>
      <c r="O51" s="2"/>
      <c r="P51" s="2"/>
      <c r="Q51" s="2"/>
      <c r="R51" s="2"/>
      <c r="S51" s="2"/>
      <c r="T51" s="2"/>
    </row>
    <row r="52" spans="3:20" x14ac:dyDescent="0.15">
      <c r="C52" s="27" t="s">
        <v>37</v>
      </c>
      <c r="D52" s="37">
        <v>5.5100000000000003E-2</v>
      </c>
      <c r="E52" s="38">
        <f>1/12</f>
        <v>8.3333333333333329E-2</v>
      </c>
      <c r="F52" s="39">
        <v>1</v>
      </c>
      <c r="G52" s="38">
        <f t="shared" ref="G52:G66" si="3">(D$30/E52)*(1-EXP(-E52/D$30))</f>
        <v>0.97945302938068401</v>
      </c>
      <c r="H52" s="38">
        <f t="shared" ref="H52:H66" si="4">G52-EXP(-E52/D$30)</f>
        <v>2.0263572271545849E-2</v>
      </c>
      <c r="I52" s="5">
        <f>F52*$D$46+G52*$D$47+H52*$D$48</f>
        <v>5.5958669424750106E-2</v>
      </c>
      <c r="J52" s="39"/>
      <c r="K52" s="39"/>
      <c r="L52" s="39"/>
      <c r="M52" s="2"/>
      <c r="N52" s="2"/>
      <c r="O52" s="2"/>
      <c r="P52" s="2"/>
      <c r="Q52" s="2"/>
      <c r="R52" s="2"/>
      <c r="S52" s="2"/>
      <c r="T52" s="2"/>
    </row>
    <row r="53" spans="3:20" x14ac:dyDescent="0.15">
      <c r="C53" s="1" t="s">
        <v>27</v>
      </c>
      <c r="D53" s="32">
        <v>5.4699999999999999E-2</v>
      </c>
      <c r="E53" s="2">
        <f>3/12</f>
        <v>0.25</v>
      </c>
      <c r="F53" s="2">
        <v>1</v>
      </c>
      <c r="G53" s="40">
        <f t="shared" si="3"/>
        <v>0.94002477932323636</v>
      </c>
      <c r="H53" s="40">
        <f t="shared" si="4"/>
        <v>5.7527876738640904E-2</v>
      </c>
      <c r="I53" s="5">
        <f t="shared" ref="I53:I66" si="5">F53*$D$46+G53*$D$47+H53*$D$48</f>
        <v>5.4582224116343447E-2</v>
      </c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3:20" ht="14" thickBot="1" x14ac:dyDescent="0.2">
      <c r="C54" s="1" t="s">
        <v>28</v>
      </c>
      <c r="D54" s="32">
        <v>5.3600000000000002E-2</v>
      </c>
      <c r="E54" s="2">
        <f>6/12</f>
        <v>0.5</v>
      </c>
      <c r="F54" s="2">
        <v>1</v>
      </c>
      <c r="G54" s="40">
        <f t="shared" si="3"/>
        <v>0.88479686771438049</v>
      </c>
      <c r="H54" s="40">
        <f t="shared" si="4"/>
        <v>0.10599608464297561</v>
      </c>
      <c r="I54" s="5">
        <f t="shared" si="5"/>
        <v>5.2745415310323639E-2</v>
      </c>
    </row>
    <row r="55" spans="3:20" x14ac:dyDescent="0.15">
      <c r="C55" s="76" t="s">
        <v>38</v>
      </c>
      <c r="D55" s="77">
        <v>4.99E-2</v>
      </c>
      <c r="E55" s="78">
        <v>1</v>
      </c>
      <c r="F55" s="78">
        <v>1</v>
      </c>
      <c r="G55" s="79">
        <f t="shared" si="3"/>
        <v>0.78693868057473315</v>
      </c>
      <c r="H55" s="79">
        <f t="shared" si="4"/>
        <v>0.18040802086209973</v>
      </c>
      <c r="I55" s="80">
        <f t="shared" si="5"/>
        <v>4.9771312397747021E-2</v>
      </c>
      <c r="J55" s="81">
        <f>D55</f>
        <v>4.99E-2</v>
      </c>
      <c r="K55" s="79">
        <f t="shared" ref="K55:K64" si="6">EXP(-1*I55*E55)</f>
        <v>0.95144698375259928</v>
      </c>
      <c r="L55" s="82">
        <f>K55/SUM(K55:K58)</f>
        <v>0.26551002266438223</v>
      </c>
    </row>
    <row r="56" spans="3:20" x14ac:dyDescent="0.15">
      <c r="C56" s="83" t="s">
        <v>39</v>
      </c>
      <c r="D56" s="41">
        <v>4.5900000000000003E-2</v>
      </c>
      <c r="E56" s="2">
        <v>2</v>
      </c>
      <c r="F56" s="2">
        <v>1</v>
      </c>
      <c r="G56" s="40">
        <f t="shared" si="3"/>
        <v>0.63212055882855767</v>
      </c>
      <c r="H56" s="40">
        <f t="shared" si="4"/>
        <v>0.26424111765711533</v>
      </c>
      <c r="I56" s="5">
        <f t="shared" si="5"/>
        <v>4.5895094868984042E-2</v>
      </c>
      <c r="J56" s="5">
        <f>EXP(I56*E56-I55*E55)-1</f>
        <v>4.2914166010474153E-2</v>
      </c>
      <c r="K56" s="40">
        <f t="shared" si="6"/>
        <v>0.91229653864251337</v>
      </c>
      <c r="L56" s="84">
        <f>K56/SUM(K55:K58)</f>
        <v>0.25458473124404341</v>
      </c>
    </row>
    <row r="57" spans="3:20" x14ac:dyDescent="0.15">
      <c r="C57" s="83" t="s">
        <v>40</v>
      </c>
      <c r="D57" s="41">
        <v>4.3799999999999999E-2</v>
      </c>
      <c r="E57" s="2">
        <v>3</v>
      </c>
      <c r="F57" s="2">
        <v>1</v>
      </c>
      <c r="G57" s="40">
        <f t="shared" si="3"/>
        <v>0.51791322656771344</v>
      </c>
      <c r="H57" s="40">
        <f t="shared" si="4"/>
        <v>0.29478306641928365</v>
      </c>
      <c r="I57" s="5">
        <f t="shared" si="5"/>
        <v>4.3801294835179611E-2</v>
      </c>
      <c r="J57" s="5">
        <f t="shared" ref="J57:J64" si="7">EXP(I57*E57-I56*E56)-1</f>
        <v>4.0408781195347299E-2</v>
      </c>
      <c r="K57" s="40">
        <f t="shared" si="6"/>
        <v>0.87686355126141569</v>
      </c>
      <c r="L57" s="84">
        <f>K57/SUM(K55:K58)</f>
        <v>0.24469683055879796</v>
      </c>
    </row>
    <row r="58" spans="3:20" ht="14" thickBot="1" x14ac:dyDescent="0.2">
      <c r="C58" s="85" t="s">
        <v>46</v>
      </c>
      <c r="D58" s="86"/>
      <c r="E58" s="87">
        <v>4</v>
      </c>
      <c r="F58" s="87">
        <v>1</v>
      </c>
      <c r="G58" s="88">
        <f t="shared" si="3"/>
        <v>0.43233235838169365</v>
      </c>
      <c r="H58" s="88">
        <f t="shared" si="4"/>
        <v>0.29699707514508095</v>
      </c>
      <c r="I58" s="89">
        <f t="shared" si="5"/>
        <v>4.2737976701188077E-2</v>
      </c>
      <c r="J58" s="89">
        <f t="shared" si="7"/>
        <v>4.0340457226111903E-2</v>
      </c>
      <c r="K58" s="88">
        <f t="shared" si="6"/>
        <v>0.84286210842883191</v>
      </c>
      <c r="L58" s="90">
        <f>K58/SUM(K55:K58)</f>
        <v>0.23520841553277644</v>
      </c>
    </row>
    <row r="59" spans="3:20" x14ac:dyDescent="0.15">
      <c r="C59" s="9" t="s">
        <v>45</v>
      </c>
      <c r="D59" s="41">
        <v>4.2000000000000003E-2</v>
      </c>
      <c r="E59" s="2">
        <v>5</v>
      </c>
      <c r="F59" s="2">
        <v>1</v>
      </c>
      <c r="G59" s="40">
        <f t="shared" si="3"/>
        <v>0.36716600055044046</v>
      </c>
      <c r="H59" s="40">
        <f t="shared" si="4"/>
        <v>0.28508100192654168</v>
      </c>
      <c r="I59" s="5">
        <f t="shared" si="5"/>
        <v>4.2261016318718453E-2</v>
      </c>
      <c r="J59" s="5">
        <f t="shared" si="7"/>
        <v>4.1178427236857607E-2</v>
      </c>
      <c r="K59" s="40">
        <f t="shared" si="6"/>
        <v>0.80952705739944153</v>
      </c>
    </row>
    <row r="60" spans="3:20" x14ac:dyDescent="0.15">
      <c r="C60" s="9" t="s">
        <v>47</v>
      </c>
      <c r="D60" s="41"/>
      <c r="E60" s="2">
        <v>6</v>
      </c>
      <c r="F60" s="2">
        <v>1</v>
      </c>
      <c r="G60" s="40">
        <f t="shared" si="3"/>
        <v>0.31673764387737868</v>
      </c>
      <c r="H60" s="40">
        <f t="shared" si="4"/>
        <v>0.26695057550951473</v>
      </c>
      <c r="I60" s="5">
        <f t="shared" si="5"/>
        <v>4.2109852545799444E-2</v>
      </c>
      <c r="J60" s="5">
        <f t="shared" si="7"/>
        <v>4.2221021582174334E-2</v>
      </c>
      <c r="K60" s="40">
        <f t="shared" si="6"/>
        <v>0.77673261298310325</v>
      </c>
    </row>
    <row r="61" spans="3:20" x14ac:dyDescent="0.15">
      <c r="C61" s="1" t="s">
        <v>41</v>
      </c>
      <c r="D61" s="41">
        <v>4.2099999999999999E-2</v>
      </c>
      <c r="E61" s="2">
        <v>7</v>
      </c>
      <c r="F61" s="2">
        <v>1</v>
      </c>
      <c r="G61" s="40">
        <f t="shared" si="3"/>
        <v>0.27708646187933755</v>
      </c>
      <c r="H61" s="40">
        <f t="shared" si="4"/>
        <v>0.24688907845701905</v>
      </c>
      <c r="I61" s="5">
        <f t="shared" si="5"/>
        <v>4.2133007588084234E-2</v>
      </c>
      <c r="J61" s="5">
        <f t="shared" si="7"/>
        <v>4.3178119789150537E-2</v>
      </c>
      <c r="K61" s="40">
        <f t="shared" si="6"/>
        <v>0.74458292236813617</v>
      </c>
    </row>
    <row r="62" spans="3:20" x14ac:dyDescent="0.15">
      <c r="C62" s="1" t="s">
        <v>50</v>
      </c>
      <c r="D62" s="41"/>
      <c r="E62" s="2">
        <v>8</v>
      </c>
      <c r="F62" s="2">
        <v>1</v>
      </c>
      <c r="G62" s="40">
        <f t="shared" si="3"/>
        <v>0.24542109027781644</v>
      </c>
      <c r="H62" s="40">
        <f t="shared" si="4"/>
        <v>0.22710545138908228</v>
      </c>
      <c r="I62" s="5">
        <f t="shared" si="5"/>
        <v>4.22435336975647E-2</v>
      </c>
      <c r="J62" s="5">
        <f t="shared" si="7"/>
        <v>4.3955867924438285E-2</v>
      </c>
      <c r="K62" s="40">
        <f t="shared" si="6"/>
        <v>0.71323218274398281</v>
      </c>
    </row>
    <row r="63" spans="3:20" x14ac:dyDescent="0.15">
      <c r="C63" s="1" t="s">
        <v>51</v>
      </c>
      <c r="D63" s="41"/>
      <c r="E63" s="2">
        <v>9</v>
      </c>
      <c r="F63" s="2">
        <v>1</v>
      </c>
      <c r="G63" s="40">
        <f t="shared" si="3"/>
        <v>0.21975355632483504</v>
      </c>
      <c r="H63" s="40">
        <f t="shared" si="4"/>
        <v>0.20864455978659274</v>
      </c>
      <c r="I63" s="5">
        <f t="shared" si="5"/>
        <v>4.2392430738167314E-2</v>
      </c>
      <c r="J63" s="5">
        <f t="shared" si="7"/>
        <v>4.4547322195122474E-2</v>
      </c>
      <c r="K63" s="40">
        <f t="shared" si="6"/>
        <v>0.68281461987296199</v>
      </c>
    </row>
    <row r="64" spans="3:20" x14ac:dyDescent="0.15">
      <c r="C64" s="1" t="s">
        <v>42</v>
      </c>
      <c r="D64" s="41">
        <v>4.2099999999999999E-2</v>
      </c>
      <c r="E64" s="2">
        <v>10</v>
      </c>
      <c r="F64" s="2">
        <v>1</v>
      </c>
      <c r="G64" s="40">
        <f t="shared" si="3"/>
        <v>0.1986524106001829</v>
      </c>
      <c r="H64" s="40">
        <f t="shared" si="4"/>
        <v>0.19191446360109743</v>
      </c>
      <c r="I64" s="5">
        <f t="shared" si="5"/>
        <v>4.2552837755087211E-2</v>
      </c>
      <c r="J64" s="5">
        <f t="shared" si="7"/>
        <v>4.4978698404780637E-2</v>
      </c>
      <c r="K64" s="40">
        <f t="shared" si="6"/>
        <v>0.65342443909652637</v>
      </c>
    </row>
    <row r="65" spans="2:13" x14ac:dyDescent="0.15">
      <c r="C65" s="1" t="s">
        <v>43</v>
      </c>
      <c r="D65" s="41">
        <v>4.4600000000000001E-2</v>
      </c>
      <c r="E65" s="2">
        <v>20</v>
      </c>
      <c r="F65" s="2">
        <v>1</v>
      </c>
      <c r="G65" s="40">
        <f t="shared" si="3"/>
        <v>9.9995460007023751E-2</v>
      </c>
      <c r="H65" s="40">
        <f t="shared" si="4"/>
        <v>9.995006007726126E-2</v>
      </c>
      <c r="I65" s="5">
        <f t="shared" si="5"/>
        <v>4.3638997370471069E-2</v>
      </c>
    </row>
    <row r="66" spans="2:13" x14ac:dyDescent="0.15">
      <c r="C66" s="30" t="s">
        <v>44</v>
      </c>
      <c r="D66" s="42">
        <v>4.36E-2</v>
      </c>
      <c r="E66" s="43">
        <v>30</v>
      </c>
      <c r="F66" s="43">
        <v>1</v>
      </c>
      <c r="G66" s="44">
        <f t="shared" si="3"/>
        <v>6.6666646273178629E-2</v>
      </c>
      <c r="H66" s="44">
        <f t="shared" si="4"/>
        <v>6.6666340370858126E-2</v>
      </c>
      <c r="I66" s="7">
        <f t="shared" si="5"/>
        <v>4.4060130014311166E-2</v>
      </c>
      <c r="J66" s="43"/>
      <c r="K66" s="55"/>
      <c r="L66" s="55"/>
    </row>
    <row r="69" spans="2:13" x14ac:dyDescent="0.2">
      <c r="B69" s="8" t="s">
        <v>52</v>
      </c>
    </row>
    <row r="70" spans="2:13" x14ac:dyDescent="0.2">
      <c r="C70" s="66" t="s">
        <v>62</v>
      </c>
      <c r="D70" s="4" t="s">
        <v>58</v>
      </c>
      <c r="E70" s="4" t="s">
        <v>35</v>
      </c>
      <c r="F70" s="4" t="s">
        <v>0</v>
      </c>
      <c r="G70" s="4" t="s">
        <v>56</v>
      </c>
      <c r="H70" s="4" t="s">
        <v>60</v>
      </c>
      <c r="I70" s="4" t="s">
        <v>61</v>
      </c>
      <c r="J70" s="4"/>
      <c r="K70" s="66" t="s">
        <v>63</v>
      </c>
      <c r="L70" s="66" t="s">
        <v>64</v>
      </c>
      <c r="M70" s="66" t="s">
        <v>66</v>
      </c>
    </row>
    <row r="71" spans="2:13" x14ac:dyDescent="0.2">
      <c r="C71" s="9">
        <v>1</v>
      </c>
      <c r="D71" s="54">
        <v>1</v>
      </c>
      <c r="E71" s="45">
        <f t="shared" ref="E71:F74" si="8">I55</f>
        <v>4.9771312397747021E-2</v>
      </c>
      <c r="F71" s="45">
        <f t="shared" si="8"/>
        <v>4.99E-2</v>
      </c>
      <c r="G71" s="40">
        <f>EXP(-1*E71*C71)</f>
        <v>0.95144698375259928</v>
      </c>
      <c r="H71" s="40">
        <f>G71/$G$75</f>
        <v>0.26551002266438223</v>
      </c>
      <c r="I71" s="5">
        <f>F71*H71</f>
        <v>1.3248950130952673E-2</v>
      </c>
      <c r="K71" s="62">
        <f>D71*$I$76</f>
        <v>4.3550557262558451E-2</v>
      </c>
      <c r="L71" s="62">
        <f>D71*F71</f>
        <v>4.99E-2</v>
      </c>
      <c r="M71" s="63">
        <f>G71*(K71-L71)</f>
        <v>-6.041158141048609E-3</v>
      </c>
    </row>
    <row r="72" spans="2:13" x14ac:dyDescent="0.2">
      <c r="C72" s="9">
        <v>2</v>
      </c>
      <c r="D72" s="54">
        <v>1</v>
      </c>
      <c r="E72" s="45">
        <f t="shared" si="8"/>
        <v>4.5895094868984042E-2</v>
      </c>
      <c r="F72" s="45">
        <f t="shared" si="8"/>
        <v>4.2914166010474153E-2</v>
      </c>
      <c r="G72" s="40">
        <f>EXP(-1*E72*C72)</f>
        <v>0.91229653864251337</v>
      </c>
      <c r="H72" s="40">
        <f>G72/$G$75</f>
        <v>0.25458473124404341</v>
      </c>
      <c r="I72" s="5">
        <f t="shared" ref="I72:I74" si="9">F72*H72</f>
        <v>1.0925291420338825E-2</v>
      </c>
      <c r="K72" s="62">
        <f>D72*$I$76</f>
        <v>4.3550557262558451E-2</v>
      </c>
      <c r="L72" s="62">
        <f>D72*F72</f>
        <v>4.2914166010474153E-2</v>
      </c>
      <c r="M72" s="63">
        <f t="shared" ref="M72:M74" si="10">G72*(K72-L72)</f>
        <v>5.8057753649888013E-4</v>
      </c>
    </row>
    <row r="73" spans="2:13" x14ac:dyDescent="0.2">
      <c r="C73" s="9">
        <v>3</v>
      </c>
      <c r="D73" s="54">
        <v>1</v>
      </c>
      <c r="E73" s="45">
        <f t="shared" si="8"/>
        <v>4.3801294835179611E-2</v>
      </c>
      <c r="F73" s="45">
        <f t="shared" si="8"/>
        <v>4.0408781195347299E-2</v>
      </c>
      <c r="G73" s="40">
        <f>EXP(-1*E73*C73)</f>
        <v>0.87686355126141569</v>
      </c>
      <c r="H73" s="40">
        <f>G73/$G$75</f>
        <v>0.24469683055879796</v>
      </c>
      <c r="I73" s="5">
        <f t="shared" si="9"/>
        <v>9.8879006852454383E-3</v>
      </c>
      <c r="K73" s="62">
        <f>D73*$I$76</f>
        <v>4.3550557262558451E-2</v>
      </c>
      <c r="L73" s="62">
        <f>D73*F73</f>
        <v>4.0408781195347299E-2</v>
      </c>
      <c r="M73" s="63">
        <f t="shared" si="10"/>
        <v>2.7549089195628949E-3</v>
      </c>
    </row>
    <row r="74" spans="2:13" x14ac:dyDescent="0.2">
      <c r="C74" s="55">
        <v>4</v>
      </c>
      <c r="D74" s="56">
        <v>1</v>
      </c>
      <c r="E74" s="57">
        <f t="shared" si="8"/>
        <v>4.2737976701188077E-2</v>
      </c>
      <c r="F74" s="57">
        <f t="shared" si="8"/>
        <v>4.0340457226111903E-2</v>
      </c>
      <c r="G74" s="44">
        <f>EXP(-1*E74*C74)</f>
        <v>0.84286210842883191</v>
      </c>
      <c r="H74" s="44">
        <f>G74/$G$75</f>
        <v>0.23520841553277644</v>
      </c>
      <c r="I74" s="7">
        <f t="shared" si="9"/>
        <v>9.4884150260215218E-3</v>
      </c>
      <c r="J74" s="43"/>
      <c r="K74" s="64">
        <f>D74*$I$76</f>
        <v>4.3550557262558451E-2</v>
      </c>
      <c r="L74" s="64">
        <f>D74*F74</f>
        <v>4.0340457226111903E-2</v>
      </c>
      <c r="M74" s="65">
        <f t="shared" si="10"/>
        <v>2.7056716849868075E-3</v>
      </c>
    </row>
    <row r="75" spans="2:13" x14ac:dyDescent="0.2">
      <c r="G75" s="40">
        <f>SUM(G71:G74)</f>
        <v>3.5834691820853601</v>
      </c>
      <c r="H75" s="40">
        <f>SUM(H71:H74)</f>
        <v>1</v>
      </c>
    </row>
    <row r="76" spans="2:13" x14ac:dyDescent="0.2">
      <c r="H76" s="52" t="s">
        <v>59</v>
      </c>
      <c r="I76" s="53">
        <f>SUM(I71:I74)</f>
        <v>4.3550557262558451E-2</v>
      </c>
      <c r="L76" s="61" t="s">
        <v>65</v>
      </c>
      <c r="M76" s="67">
        <f>SUM(M71:M74)</f>
        <v>-2.688821387764051E-17</v>
      </c>
    </row>
    <row r="82" spans="10:10" x14ac:dyDescent="0.2">
      <c r="J82" s="6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Swap_LSC_template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 Lee</cp:lastModifiedBy>
  <dcterms:created xsi:type="dcterms:W3CDTF">2023-08-13T17:56:19Z</dcterms:created>
  <dcterms:modified xsi:type="dcterms:W3CDTF">2024-04-15T19:26:50Z</dcterms:modified>
</cp:coreProperties>
</file>